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RONOGRAMA SEM DESONERAÇÃO" sheetId="1" r:id="rId4"/>
    <sheet state="visible" name="RESUMO SEM DESONERAÇÃO" sheetId="2" r:id="rId5"/>
    <sheet state="visible" name="PLANILHA SEM DESON" sheetId="3" r:id="rId6"/>
    <sheet state="visible" name="COMP CIVIL" sheetId="4" r:id="rId7"/>
    <sheet state="visible" name="COMP ELE" sheetId="5" r:id="rId8"/>
    <sheet state="visible" name="COMP ESTRUT" sheetId="6" r:id="rId9"/>
    <sheet state="visible" name="COMP HIDR" sheetId="7" r:id="rId10"/>
    <sheet state="visible" name="COMP ETE" sheetId="8" r:id="rId11"/>
    <sheet state="visible" name="BDI NÃO DESONERADO" sheetId="9" r:id="rId12"/>
    <sheet state="visible" name="QT IMPLANTAÇÃO ARQ" sheetId="10" r:id="rId13"/>
    <sheet state="visible" name="QT ESTRUTURAL" sheetId="11" r:id="rId14"/>
    <sheet state="visible" name="QTITATIVO ELÉTRICA" sheetId="12" r:id="rId15"/>
    <sheet state="visible" name="QTITQTIVO ARQ" sheetId="13" r:id="rId16"/>
    <sheet state="visible" name="QTITATIVO MURETA" sheetId="14" r:id="rId17"/>
    <sheet state="visible" name="QTITQTIVO ETE - ADELMO" sheetId="15" r:id="rId18"/>
    <sheet state="visible" name="LISTA DE MAT HIDROSSAN" sheetId="16" r:id="rId19"/>
  </sheets>
  <externalReferences>
    <externalReference r:id="rId20"/>
    <externalReference r:id="rId21"/>
  </externalReferences>
  <definedNames>
    <definedName name="Li">'QTITQTIVO ETE - ADELMO'!$B$6</definedName>
    <definedName name="Eb">'QTITQTIVO ETE - ADELMO'!$B$12</definedName>
    <definedName name="Hch">'QTITQTIVO ETE - ADELMO'!$B$18</definedName>
    <definedName name="Et">'QTITQTIVO ETE - ADELMO'!$B$15</definedName>
    <definedName name="His">'QTITQTIVO ETE - ADELMO'!$B$28</definedName>
    <definedName name="Hit">'QTITQTIVO ETE - ADELMO'!$B$11</definedName>
    <definedName name="Ce">'QTITQTIVO ETE - ADELMO'!$B$10</definedName>
    <definedName name="Ets">'QTITQTIVO ETE - ADELMO'!$B$29</definedName>
    <definedName name="Lb">'QTITQTIVO ETE - ADELMO'!$B$13</definedName>
    <definedName name="Pts">'QTITQTIVO ETE - ADELMO'!$B$32</definedName>
    <definedName name="ACF">'QTITQTIVO ETE - ADELMO'!$B$21</definedName>
    <definedName name="Dcs">'QTITQTIVO ETE - ADELMO'!$B$31</definedName>
    <definedName name="ESGOTO">'QTITQTIVO ETE - ADELMO'!$B$10</definedName>
    <definedName name="CiFi">'QTITQTIVO ETE - ADELMO'!$B$9</definedName>
    <definedName name="ADELMO">'QTITQTIVO ETE - ADELMO'!$B$15</definedName>
    <definedName name="DIs">'QTITQTIVO ETE - ADELMO'!$B$26</definedName>
    <definedName name="Pt">'QTITQTIVO ETE - ADELMO'!$B$20</definedName>
    <definedName name="KKKKKK">'QTITQTIVO ETE - ADELMO'!$B$19</definedName>
    <definedName name="CFO">'QTITQTIVO ETE - ADELMO'!$B$11</definedName>
    <definedName name="ETE">'QTITQTIVO ETE - ADELMO'!$B$6</definedName>
    <definedName name="Hcs">'QTITQTIVO ETE - ADELMO'!$B$30</definedName>
    <definedName name="Cb">'QTITQTIVO ETE - ADELMO'!$B$14</definedName>
    <definedName name="Le">'QTITQTIVO ETE - ADELMO'!$B$7</definedName>
    <definedName name="CiFo">'QTITQTIVO ETE - ADELMO'!$B$8</definedName>
    <definedName name="Dch">'QTITQTIVO ETE - ADELMO'!$B$19</definedName>
  </definedNames>
  <calcPr/>
</workbook>
</file>

<file path=xl/sharedStrings.xml><?xml version="1.0" encoding="utf-8"?>
<sst xmlns="http://schemas.openxmlformats.org/spreadsheetml/2006/main" count="7833" uniqueCount="2540">
  <si>
    <t>PROCESSO Nº:</t>
  </si>
  <si>
    <t>CRONOGRAMA FISICO FINANCEIRO</t>
  </si>
  <si>
    <t>ITEM</t>
  </si>
  <si>
    <t>DESCRIÇÃO / ETAPA</t>
  </si>
  <si>
    <t>PERÍODO</t>
  </si>
  <si>
    <t>A Executar</t>
  </si>
  <si>
    <t>30 DIAS</t>
  </si>
  <si>
    <t>60 DIAS</t>
  </si>
  <si>
    <t>90 DIAS</t>
  </si>
  <si>
    <t>120 DIAS</t>
  </si>
  <si>
    <t>Total</t>
  </si>
  <si>
    <t>Valor(R$)</t>
  </si>
  <si>
    <t>%</t>
  </si>
  <si>
    <t>VALOR TOTAL</t>
  </si>
  <si>
    <t>VALOR ACUMULADO</t>
  </si>
  <si>
    <t>RESUMO DA PLANILHA ORÇAMENTÁRIA</t>
  </si>
  <si>
    <t>E T A P A S</t>
  </si>
  <si>
    <t>VALOR</t>
  </si>
  <si>
    <t>TOTAL GERAL DO ORÇAMENTO</t>
  </si>
  <si>
    <t>Importa o presente orçamento em R$</t>
  </si>
  <si>
    <t>SEMA-PRO-2022/00145</t>
  </si>
  <si>
    <t>OBRA:</t>
  </si>
  <si>
    <t>CONSTRUÇÃO DE DIRETORIA DE UNIDADE DESCONCENTRADA DA SEMA - DUDS</t>
  </si>
  <si>
    <t>ENDEREÇO:</t>
  </si>
  <si>
    <t>Rua Erichin, esquina com Rua Circular - Bairro Residencial Arco Íris</t>
  </si>
  <si>
    <t>BDI:</t>
  </si>
  <si>
    <t>MUNICÍPIO:</t>
  </si>
  <si>
    <t>CONFRESA - MT</t>
  </si>
  <si>
    <t>Data:</t>
  </si>
  <si>
    <t>ASSUNTO:</t>
  </si>
  <si>
    <t xml:space="preserve">CONSTRUÇÃO </t>
  </si>
  <si>
    <t xml:space="preserve"> FONTE: SINAPI OUT/2022(SEM DESONERAÇÃO)</t>
  </si>
  <si>
    <t>Prazo:</t>
  </si>
  <si>
    <t>120 dias</t>
  </si>
  <si>
    <t>Item</t>
  </si>
  <si>
    <t>Composição</t>
  </si>
  <si>
    <t>Descrição</t>
  </si>
  <si>
    <t>Unid</t>
  </si>
  <si>
    <t>Vlr Unit</t>
  </si>
  <si>
    <t>Quant</t>
  </si>
  <si>
    <t>Vlr Unit C/ BDI</t>
  </si>
  <si>
    <t>Vlr Total</t>
  </si>
  <si>
    <t>ADMINISTRAÇÃO LOCAL</t>
  </si>
  <si>
    <t>1.1</t>
  </si>
  <si>
    <t>COMP 01</t>
  </si>
  <si>
    <t>ADMINISTRAÇÃO LOCAL DA OBRA</t>
  </si>
  <si>
    <t xml:space="preserve">un </t>
  </si>
  <si>
    <t>SUBTOTAL</t>
  </si>
  <si>
    <t>SERVIÇO PRELIMINARES</t>
  </si>
  <si>
    <t>ANDREIA ARAGÃO</t>
  </si>
  <si>
    <t>2.1</t>
  </si>
  <si>
    <t>COMP 02</t>
  </si>
  <si>
    <t>PLACA DE OBRA EM CHAPA DE ACO GALVANIZADO</t>
  </si>
  <si>
    <t>m²</t>
  </si>
  <si>
    <t>2.2</t>
  </si>
  <si>
    <t>LIMPEZA MECANIZADA DE CAMADA VEGETAL, VEGETAÇÃO E PEQUENAS ÁRVORES (DIÂMETRO DE TRONCO MENOR QUE 0,20 M), COM TRATOR DE ESTEIRAS.AF_05/2018</t>
  </si>
  <si>
    <t>2.3</t>
  </si>
  <si>
    <t>CARGA, MANOBRA E DESCARGA DE ENTULHO EM CAMINHÃO BASCULANTE 6 M³ - CARGA COM ESCAVADEIRA HIDRÁULICA (CAÇAMBA DE 0,80 M³ / 111 HP) E DESCARGA LIVRE (UNIDADE: M3). AF_07/2020</t>
  </si>
  <si>
    <t>m³</t>
  </si>
  <si>
    <t>LIMPEZA TERRENO MAIS ATERRO DE BALDRAME, ATERRO DE MURETA  E ATERRO DA ETE</t>
  </si>
  <si>
    <t>2.4</t>
  </si>
  <si>
    <t>TRANSPORTE COM CAMINHÃO BASCULANTE DE 6 M³, EM VIA URBANA PAVIMENTADA, DMT ATÉ 30 KM (UNIDADE: M3XKM). AF_07/2020</t>
  </si>
  <si>
    <t>m³XKm</t>
  </si>
  <si>
    <r>
      <rPr>
        <rFont val="Arial"/>
        <sz val="10.0"/>
      </rPr>
      <t>190,40</t>
    </r>
    <r>
      <rPr>
        <rFont val="Arial"/>
        <sz val="11.0"/>
      </rPr>
      <t>m³</t>
    </r>
    <r>
      <rPr>
        <rFont val="Arial"/>
        <sz val="10.0"/>
      </rPr>
      <t>*30Km=5712,00 m³*Km</t>
    </r>
  </si>
  <si>
    <t>190,40=(1570 m² * 0,20 m (altura)* 0,4 empolamento)+12,08m³*0,40(ETE)+40,02m³(VIGA BALD)+19,95m³ (MURETA)</t>
  </si>
  <si>
    <t>2.5</t>
  </si>
  <si>
    <t>TAPUME COM TELHA METÁLICA. AF_05/2018</t>
  </si>
  <si>
    <t>2.6</t>
  </si>
  <si>
    <t>LOCAÇÃO CONVENCIONAL DE OBRA, UTILIZANDO GABARITO DE TÁBUAS CORRIDAS PONTALETADAS A CADA 2,00M - 2 UTILIZAÇÕES. AF_10/2018</t>
  </si>
  <si>
    <t>m</t>
  </si>
  <si>
    <t>2.7</t>
  </si>
  <si>
    <t>COMP 03</t>
  </si>
  <si>
    <t>ENTRADA PROVISÓRIA DE ENERGIA ELÉTRICA AÉREA TRIFÁSICA 40A EM POSTE MADEIRA</t>
  </si>
  <si>
    <t>2.8</t>
  </si>
  <si>
    <t>EXECUÇÃO DE SANITÁRIO E VESTIÁRIO EM CANTEIRO DE OBRA EM CHAPA DE MADEIRA COMPENSADA, NÃO INCLUSO MOBILIÁRIO. AF_02/2016</t>
  </si>
  <si>
    <t>2.9</t>
  </si>
  <si>
    <t>EXECUÇÃO DE ALMOXARIFADO EM CANTEIRO DE OBRA EM CHAPA DE MADEIRA COMPENSADA, INCLUSO PRATELEIRAS. AF_02/2016</t>
  </si>
  <si>
    <t>2.10</t>
  </si>
  <si>
    <t>EXECUÇÃO DE REFEITÓRIO EM CANTEIRO DE OBRA EM CHAPA DE MADEIRA COMPENSADA, NÃO INCLUSO MOBILIÁRIO E EQUIPAMENTOS. AF_02/2016</t>
  </si>
  <si>
    <t>2.11</t>
  </si>
  <si>
    <t>EXECUÇÃO DE ESCRITÓRIO EM CANTEIRO DE OBRA EM CHAPA DE MADEIRA COMPENSADA, NÃO INCLUSO MOBILIÁRIO E EQUIPAMENTOS. AF_02/2016</t>
  </si>
  <si>
    <t>2.12</t>
  </si>
  <si>
    <t>EXECUÇÃO DE RESERVATÓRIO ELEVADO DE ÁGUA (1000 LITROS) EM CANTEIRO DE OBRA, APOIADO EM ESTRUTURA DE MADEIRA. AF_02/2016</t>
  </si>
  <si>
    <t>2.13</t>
  </si>
  <si>
    <t>KIT CAVALETE PARA MEDIÇÃO DE ÁGUA - ENTRADA PRINCIPAL, EM PVC SOLDÁVEL DN 25 (¾")  FORNECIMENTO E INSTALAÇÃO (EXCLUSIVE HIDRÔMETRO). AF_11/2016</t>
  </si>
  <si>
    <t>2.14</t>
  </si>
  <si>
    <t>HIDRÔMETRO DN 25 (¾ ), 5,0 M³/H FORNECIMENTO E INSTALAÇÃO. AF_11/2016</t>
  </si>
  <si>
    <t>MOVIMENTO DE TERRA</t>
  </si>
  <si>
    <t>PEDRO SANTO</t>
  </si>
  <si>
    <t>3.1</t>
  </si>
  <si>
    <t>ALARGAMENTO DE BASE DE TUBULÃO A CÉU ABERTO, ESCAVAÇÃO MANUAL, CONCRETO USINADO E LANÇADO COM BOMBA OU DIRETAMENTE DO CAMINHÃO. AF_05/2020</t>
  </si>
  <si>
    <t>3.2</t>
  </si>
  <si>
    <t>ESCAVAÇÃO MANUAL DE VALA PARA VIGA BALDRAME, COM PREVISÃO DE FÔRMA. AF_06/2017</t>
  </si>
  <si>
    <t>3.3</t>
  </si>
  <si>
    <t>REATERRO MANUAL APILOADO COM SOQUETE. AF_10/2017</t>
  </si>
  <si>
    <t>BALDRAME</t>
  </si>
  <si>
    <t>ESTRUTURA EM CONCRETO ARMADO</t>
  </si>
  <si>
    <t>4.1</t>
  </si>
  <si>
    <t>VIGAS BALDRAMES</t>
  </si>
  <si>
    <t>4.1.1</t>
  </si>
  <si>
    <t>FABRICAÇÃO, MONTAGEM E DESMONTAGEM DE FÔRMA PARA VIGA BALDRAME, EM MADEIRA SERRADA, E=25 MM, 4 UTILIZAÇÕES. AF_06/2017</t>
  </si>
  <si>
    <t>4.1.2</t>
  </si>
  <si>
    <t>CONCRETO FCK = 25MPA, TRAÇO 1:2,3:2,7 (CIMENTO/ AREIA MÉDIA/ BRITA 1)- PREPARO MECÂNICO COM BETONEIRA 400 L. AF_05/2021</t>
  </si>
  <si>
    <t>4.1.3</t>
  </si>
  <si>
    <t>LANÇAMENTO COM USO DE BOMBA, ADENSAMENTO E ACABAMENTO DE CONCRETO EM ESTRUTURAS. AF_02/2022</t>
  </si>
  <si>
    <t>4.1.4</t>
  </si>
  <si>
    <t>ARMAÇÃO DE BLOCO, VIGA BALDRAME E SAPATA UTILIZANDO AÇO CA-60 DE 5 MM- MONTAGEM. AF_06/2017</t>
  </si>
  <si>
    <t>Kg</t>
  </si>
  <si>
    <t>4.1.5</t>
  </si>
  <si>
    <t>ARMAÇÃO DE PILAR OU VIGA DE ESTRUTURA CONVENCIONAL DE CONCRETO ARMADO UTILIZANDO AÇO CA-50 DE 8,0 MM - MONTAGEM. AF_06/2022</t>
  </si>
  <si>
    <t>4.1.6</t>
  </si>
  <si>
    <t>ARMAÇÃO DE PILAR OU VIGA DE ESTRUTURA CONVENCIONAL DE CONCRETO ARMADO UTILIZANDO AÇO CA-50 DE 10,0 MM - MONTAGEM. AF_06/2022</t>
  </si>
  <si>
    <t>4.1.7</t>
  </si>
  <si>
    <t>ARMAÇÃO DE PILAR OU VIGA DE ESTRUTURA CONVENCIONAL DE CONCRETO ARMADO UTILIZANDO AÇO CA-50 DE 12,5 MM - MONTAGEM. AF_06/2022</t>
  </si>
  <si>
    <t>4.2</t>
  </si>
  <si>
    <t>TUBULÃO DE FUNDAÇÃO</t>
  </si>
  <si>
    <t>4.2.1</t>
  </si>
  <si>
    <t>COMP ESTR 01</t>
  </si>
  <si>
    <t>FORMA EM COMPENSADO PARA ENCAMISAMENTO DE TUBULÃO</t>
  </si>
  <si>
    <t>4.2.2</t>
  </si>
  <si>
    <t>CONCRETO FCK = 25MPA, TRAÇO 1:2,3:2,7 (EM MASSA SECA DE CIMENTO/ AREIA MÉDIA/ BRITA 1) - PREPARO MECÂNICO COM BETONEIRA 400 L. AF_05/2021</t>
  </si>
  <si>
    <t>4.2.3</t>
  </si>
  <si>
    <t>COMP ESTR 02</t>
  </si>
  <si>
    <t>LANÇAMENTO DE CONCRETO CONVENCIONAL EM FUNDAÇÕES</t>
  </si>
  <si>
    <t>4.2.4</t>
  </si>
  <si>
    <t>COMP ESTR 03</t>
  </si>
  <si>
    <t>ARMAÇÃO DE FUSTE DE TUBULÃO EM AÇO CA-50 COM APOIO DE GUIINDASTE - FORNECIMENTO , PREPARO E COLOCAÇÃO</t>
  </si>
  <si>
    <t>4.3</t>
  </si>
  <si>
    <t>LAJES MACIÇAS</t>
  </si>
  <si>
    <t xml:space="preserve">L1, L2 e L4 </t>
  </si>
  <si>
    <t>4.3.1</t>
  </si>
  <si>
    <t>MONTAGEM E DESMONTAGEM DE FÔRMA DE LAJE MACIÇA, PÉ-DIREITO SIMPLES, EM CHAPA DE MADEIRA COMPENSADA RESINADA, 8 UTILIZAÇÕES. AF_09/2020</t>
  </si>
  <si>
    <t>4.3.2</t>
  </si>
  <si>
    <t>4.3.3</t>
  </si>
  <si>
    <t>4.3.4</t>
  </si>
  <si>
    <t>ARMAÇÃO DE LAJE DE ESTRUTURA CONVENCIONAL DE CONCRETO ARMADO UTILIZANDO AÇO CA-60 DE 5,0 MM - MONTAGEM. AF_06/2022</t>
  </si>
  <si>
    <t>4.3.5</t>
  </si>
  <si>
    <t>ARMAÇÃO DE LAJE DE ESTRUTURA CONVENCIONAL DE CONCRETO ARMADO UTILIZANDO AÇO CA-60 DE 6,3 MM - MONTAGEM. AF_06/2022</t>
  </si>
  <si>
    <t>4.3.6</t>
  </si>
  <si>
    <t>ARMAÇÃO DE LAJE DE ESTRUTURA CONVENCIONAL DE CONCRETO ARMADO UTILIZANDO AÇO CA-50 DE 8,0 MM - MONTAGEM. AF_06/2022</t>
  </si>
  <si>
    <t>4.3.7</t>
  </si>
  <si>
    <t>ARMAÇÃO DE MURO ALA E MURO TESTA UTILIZANDO AÇO CA-50 DE 10 MM - MONTAGEM. AF_07/2021</t>
  </si>
  <si>
    <t>4.3.8</t>
  </si>
  <si>
    <t>ARMAÇÃO DE MURO ALA E MURO TESTA UTILIZANDO AÇO CA-50 DE 12,5 MM - MONTAGEM. AF_07/2021</t>
  </si>
  <si>
    <t>4.4</t>
  </si>
  <si>
    <t>LAJES PRE MOLDADAS</t>
  </si>
  <si>
    <t>4.4.1</t>
  </si>
  <si>
    <t>COMP ESTR 04</t>
  </si>
  <si>
    <t>LAJE TRELIÇADA (TR 10644) COM ENCHIMENTO EM EPS UNIDIRECIONAL B10/40/49</t>
  </si>
  <si>
    <r>
      <rPr>
        <rFont val="Calibri"/>
        <b/>
        <sz val="11.0"/>
      </rPr>
      <t>OBS:</t>
    </r>
    <r>
      <rPr>
        <rFont val="Calibri"/>
        <sz val="11.0"/>
      </rPr>
      <t xml:space="preserve"> O CONCRETO ESTÁ INCLUSO NA COMPOSIÇÃO UNITÁRIA POR M²</t>
    </r>
  </si>
  <si>
    <t>4.4.2</t>
  </si>
  <si>
    <t>4.4.3</t>
  </si>
  <si>
    <t>4.4.4</t>
  </si>
  <si>
    <t>4.4.5</t>
  </si>
  <si>
    <t>PILARES</t>
  </si>
  <si>
    <t>MONTAGEM E DESMONTAGEM DE FÔRMA DE PILARES RETANGULARES E ESTRUTURAS SIMILARES, PÉ-DIREITO SIMPLES, EM CHAPA DE MADEIRA COMPENSADA PLASTIFICADA, 10 UTILIZAÇÕES. AF_09/2020</t>
  </si>
  <si>
    <t>ARMAÇÃO DE PILAR OU VIGA DE ESTRUTURA CONVENCIONAL DE CONCRETO ARMADO UTILIZANDO AÇO CA-60 DE 5,0 MM - MONTAGEM. AF_06/2022</t>
  </si>
  <si>
    <t>4.4.6</t>
  </si>
  <si>
    <t>4.4.7</t>
  </si>
  <si>
    <t>ARMAÇÃO DE PILAR OU VIGA DE ESTRUTURA CONVENCIONAL DE CONCRETO ARMADO UTILIZANDO AÇO CA-50 DE 16,0 MM - MONTAGEM. AF_06/2022</t>
  </si>
  <si>
    <t>4.5</t>
  </si>
  <si>
    <t>VIGAS DE RESPALDO</t>
  </si>
  <si>
    <t>4.5.1</t>
  </si>
  <si>
    <t>MONTAGEM E DESMONTAGEM DE FÔRMA DE VIGA, ESCORAMENTO COM GARFO DE MADEIRA, PÉ-DIREITO SIMPLES, EM CHAPA DE MADEIRA PLASTIFICADA, 18 UTILIZAÇÕES. AF_09/2020</t>
  </si>
  <si>
    <t>4.5.2</t>
  </si>
  <si>
    <t>4.5.3</t>
  </si>
  <si>
    <t>4.5.4</t>
  </si>
  <si>
    <t>ARMAÇÃO DE PILAR OU VIGA DE UMA ESTRUTURA CONVENCIONAL DE CONCRETO ARMADO  UTILIZANDO AÇO CA-60 DE 5,0 MM - MONTAGEM. AF_06/2022</t>
  </si>
  <si>
    <t>4.5.5</t>
  </si>
  <si>
    <t>ARMAÇÃO DE PILAR OU VIGA DE ESTRUTURA CONVENCIONAL DE CONCRETO ARMADO UTILIZANDO AÇO CA-50 DE 6,3 MM - MONTAGEM. AF_06/2022</t>
  </si>
  <si>
    <t>4.5.6</t>
  </si>
  <si>
    <t>4.5.7</t>
  </si>
  <si>
    <t>4.5.8</t>
  </si>
  <si>
    <t>4.5.9</t>
  </si>
  <si>
    <t>4.5.10</t>
  </si>
  <si>
    <t>ARMAÇÃO DE PILAR OU VIGA DE ESTRUTURA CONVENCIONAL DE CONCRETO ARMADO UTILIZANDO AÇO CA-50 DE 20,0 MM - MONTAGEM. AF_06/2022</t>
  </si>
  <si>
    <t>4.6</t>
  </si>
  <si>
    <t>VIGAS DE PLATIBANDA</t>
  </si>
  <si>
    <t>4.6.1</t>
  </si>
  <si>
    <t>4.6.2</t>
  </si>
  <si>
    <t>4.6.3</t>
  </si>
  <si>
    <t>4.6.4</t>
  </si>
  <si>
    <t>4.6.5</t>
  </si>
  <si>
    <t>ARMAÇÃO DE PILAR OU VIGA DE UMA ESTRUTURA CONVENCIONAL DE CONCRETO ARMADO UTILIZANDO AÇO CA-50 DE 8,0 MM - MONTAGEM. AF_06/2022</t>
  </si>
  <si>
    <t>FECHAMENTOS EM ALVENARIA</t>
  </si>
  <si>
    <t>5.1</t>
  </si>
  <si>
    <t>ALVENARIA DE VEDAÇÃO DE BLOCOS CERÂMICOS FURADOS NA HORIZONTAL DE 9X14X19 CM (ESPESSURA 9 CM) E ARGAMASSA DE ASSENTAMENTO COM PREPARO EM BETONEIRA. AF_12/2021</t>
  </si>
  <si>
    <t>204,82+263,29+17,52+69,86 = 555,49</t>
  </si>
  <si>
    <t>5.2</t>
  </si>
  <si>
    <t>ALVENARIA DE VEDAÇÃO COM ELEMENTO VAZADO DE CONCRETO (COBOGÓ) DE 7X50X50CM E ARGAMASSA DE ASSENTAMENTO COM PREPARO EM BETONEIRA. AF_05/2020</t>
  </si>
  <si>
    <t>5.3</t>
  </si>
  <si>
    <t>VERGA MOLDADA IN LOCO COM UTILIZAÇÃO DE BLOCOS CANALETA PARA PORTAS COM ATÉ 1,5 M DE VÃO. AF_03/2016</t>
  </si>
  <si>
    <t>33,36 - 3,36=30m</t>
  </si>
  <si>
    <t>5.4</t>
  </si>
  <si>
    <t>VERGA MOLDADA IN LOCO COM UTILIZAÇÃO DE BLOCOS CANALETA PARA PORTAS COM MAIS DE 1,5 M DE VÃO. AF_03/2016</t>
  </si>
  <si>
    <t>5.5</t>
  </si>
  <si>
    <t>VERGA MOLDADA IN LOCO COM UTILIZAÇÃO DE BLOCOS CANALETA PARA JANELAS COM ATÉ 1,5 M DE VÃO. AF_03/2016</t>
  </si>
  <si>
    <t>57,30 - 23 = 34,30</t>
  </si>
  <si>
    <t>5.6</t>
  </si>
  <si>
    <t>VERGA MOLDADA IN LOCO EM CONCRETO PARA JANELAS COM MAIS DE 1,5 M DE VÃO. AF_03/2016</t>
  </si>
  <si>
    <t>5.7</t>
  </si>
  <si>
    <t>CONTRAVERGA MOLDADA IN LOCO COM UTILIZAÇÃO DE BLOCOS CANALETA PARA VÃOS DE ATÉ 1,5 M DE COMPRIMENTO. AF_03/2016</t>
  </si>
  <si>
    <t>5.8</t>
  </si>
  <si>
    <t>CONTRAVERGA MOLDADA IN LOCO COM UTILIZAÇÃO DE BLOCOS CANALETA PARA VÃOS DE MAIS DE 1,5 M DE COMPRIMENTO. AF_03/2016</t>
  </si>
  <si>
    <t>REVESTIMENTO DE PISO</t>
  </si>
  <si>
    <t>6.1</t>
  </si>
  <si>
    <t>COMP 13</t>
  </si>
  <si>
    <t>APILOAMENTO DE SOLO, PARA RECEBIMENTO DE LASTRO, COM MAÇO DE 30KG</t>
  </si>
  <si>
    <t>6.2</t>
  </si>
  <si>
    <t>LASTRO DE CONCRETO MAGRO, APLICADO EM PISOS, LAJES SOBRE SOLO OU RADIERS, ESPESSURA DE 5 CM. AF_07/2016</t>
  </si>
  <si>
    <t>6.3</t>
  </si>
  <si>
    <t>(COMPOSIÇÃO REPRESENTATIVA) DO SERVIÇO DE CONTRAPISO EM ARGAMASSA TRAÇO 1:4 (CIM E AREIA), EM BETONEIRA 400 L, ESPESSURA 3 CM ÁREAS SECAS E 3 CM ÁREAS MOLHADAS, PARA EDIFICAÇÃO HABITACIONAL UNIFAMILIAR (CASA) E EDIFICAÇÃO PÚBLICA PADRÃO. AF_11/2014</t>
  </si>
  <si>
    <t>6.4</t>
  </si>
  <si>
    <t>REVESTIMENTO CERÂMICO PARA PISO COM PLACAS TIPO PORCELANATO DE DIMENSÕES 60X60 CM APLICADA EM AMBIENTES DE ÁREA MENOR QUE 5 M². AF_06/2014</t>
  </si>
  <si>
    <t>6.5</t>
  </si>
  <si>
    <t>REVESTIMENTO CERÂMICO PARA PISO COM PLACAS TIPO PORCELANATO DE DIMENSÕES 60X60 CM APLICADA EM AMBIENTES DE ÁREA ENTRE 5 M²  E 10 M². AF_06/2014</t>
  </si>
  <si>
    <t>6.6</t>
  </si>
  <si>
    <t>REVESTIMENTO CERÂMICO PARA PISO COM PLACAS TIPO PORCELANATO DE DIMENSÕES 60X60 CM APLICADA EM AMBIENTES DE ÁREA MAIOR QUE 10 M². AF_06/2014</t>
  </si>
  <si>
    <t>6.7</t>
  </si>
  <si>
    <t>COMP 14</t>
  </si>
  <si>
    <t>RODAPÉ EMBUTIDO EM PORCELANATO RETIFICADO, COR CINZA CLARO, PIV, ALTURA DE 15 CM, DIMENSÕES DE 60CMX60CM. REJUNTE CINZA</t>
  </si>
  <si>
    <t>REVESTIMENTO DE PAREDE</t>
  </si>
  <si>
    <t>7.1</t>
  </si>
  <si>
    <t>CHAPISCO APLICADO EM ALVENARIA (COM PRESENÇA DE VÃOS) E ESTRUTURAS DE CONCRETO DE FACHADA, COM COLHER DE PEDREIRO. ARGAMASSA TRAÇO 1:3 COM PREPARO MANUAL. AF_06/2014</t>
  </si>
  <si>
    <t>PAREDES EXTERNAS</t>
  </si>
  <si>
    <t>7.2</t>
  </si>
  <si>
    <t>CHAPISCO APLICADO EM ALVENARIAS E ESTRUTURAS DE CONCRETO INTERNAS, COM COLHER DE PEDREIRO. ARGAMASSA TRAÇO 1:3 COM PREPARO EM BETONEIRA 400L. AF_06/2014</t>
  </si>
  <si>
    <t>447,37+477,72=925,09 (Paredes Internas e Teto)</t>
  </si>
  <si>
    <t>7.3</t>
  </si>
  <si>
    <t>EMBOÇO, PARA RECEBIMENTO DE CERÂMICA, EM ARGAMASSA TRAÇO 1:2:8, PREPARO MANUAL, APLICADO MANUALMENTE EM FACES INTERNAS DE PAREDES, PARA AMBIENTE COM ÁREA MENOR QUE 5M2, ESPESSURA DE 20MM, COM EXECUÇÃO DE TALISCAS. AF_06/2014</t>
  </si>
  <si>
    <t>64,99+7,65=72,64  (Paredes Internas e Externas)</t>
  </si>
  <si>
    <t>7.4</t>
  </si>
  <si>
    <t>EMBOÇO, PARA RECEBIMENTO DE CERÂMICA, EM ARGAMASSA TRAÇO 1:2:8, PREPARO MANUAL, APLICADO MANUALMENTE EM FACES INTERNAS DE PAREDES, PARA AMBIENTE COM ÁREA ENTRE 5M2 E 10M2, ESPESSURA DE 20MM, COM EXECUÇÃO DE TALISCAS. AF_06/201410M2, ESPESSURA DE 20MM, COM EXECUÇÃO DE TALISCAS. AF_06/2014</t>
  </si>
  <si>
    <t>30,66+12,18=42,84 (Paredes Internas e Externas)</t>
  </si>
  <si>
    <t>7.5</t>
  </si>
  <si>
    <t>EMBOÇO, PARA RECEBIMENTO DE CERÂMICA, EM ARGAMASSA TRAÇO 1:2:8, PREPARO MANUAL, APLICADO MANUALMENTE EM FACES INTERNAS DE PAREDES, PARA AMBIENTE COM ÁREA MAIOR QUE 10M2, ESPESSURA DE 20MM, COM EXECUÇÃO DE TALISCAS. AF_06/2014</t>
  </si>
  <si>
    <t>PAREDE EXTERNA - ÁREA &gt;10 m²</t>
  </si>
  <si>
    <t>7.6</t>
  </si>
  <si>
    <t>COMP 22</t>
  </si>
  <si>
    <t>REVESTIMENTO CERÂMICO DE PAREDE  BOLD 6,5X23 CM  APLICADO COM ARGAMASSA INDUSTRIAL , INCLUSIVE REJUNTE.</t>
  </si>
  <si>
    <t>FACHADA</t>
  </si>
  <si>
    <t>7.7</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</si>
  <si>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</si>
  <si>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PINTURA DE PAREDES INTERNAS</t>
  </si>
  <si>
    <t>7.8</t>
  </si>
  <si>
    <t>MASSA ÚNICA, PARA RECEBIMENTO DE PINTURA, EM ARGAMASSA TRAÇO 1:2:8, PREPARO MECÂNICO COM BETONEIRA 400L, APLICADA MANUALMENTE EM TETO, ESPESSURA DE 20MM, COM EXECUÇÃO DE TALISCAS. AF_03/2015</t>
  </si>
  <si>
    <t>MASSA ÚNICA PARA TETO</t>
  </si>
  <si>
    <t>7.9</t>
  </si>
  <si>
    <t>COMP 20</t>
  </si>
  <si>
    <t>REVESTIMENTO CERÂMICO PARA PAREDES INTERNAS COM PLACAS TIPO ESMALTADA EXTRA DE DIMENSÕES 30X60 CM APLICADAS EM AMBIENTES DE ÁREA MAIOR QUE 5 M² A MEIA ALTURA DAS PAREDES</t>
  </si>
  <si>
    <t>AZULEJO</t>
  </si>
  <si>
    <t>7.10</t>
  </si>
  <si>
    <t>COMP 21</t>
  </si>
  <si>
    <t>REVESTIMENTO CERÂMICO PARA PAREDES INTERNAS COM PLACAS TIPO ESMALTADA EXTRA DE DIMENSÕES 30X60 CM APLICADAS EM AMBIENTES DE ÁREA MENOR QUE 5 M² A MEIA ALTURA DAS PAREDES</t>
  </si>
  <si>
    <t>ESQUADRIAS</t>
  </si>
  <si>
    <t>8.1</t>
  </si>
  <si>
    <t>ESQUADRIAS DE MADEIRA</t>
  </si>
  <si>
    <t>8.1.1</t>
  </si>
  <si>
    <t>COMP 07</t>
  </si>
  <si>
    <t>PORTA DE MADEIRA 1,00 X 2,10 M; COM SUPORTE PARA PCD</t>
  </si>
  <si>
    <t>P4</t>
  </si>
  <si>
    <t>8.1.2</t>
  </si>
  <si>
    <t>KIT DE PORTA DE MADEIRA PARA PINTURA, SEMI-OCA (PESADA OU SUPERPESADA), PADRÃO MÉDIO, 80X210CM, ESPESSURA DE 3,5CM, ITENS INCLUSOS: DOBRADIÇAS, MONTAGEM E INSTALAÇÃO DO BATENTE, FECHADURA COM EXECUÇÃO DO FURO - FORNECIMENTO E INSTALAÇÃO. AF_12/2019</t>
  </si>
  <si>
    <t xml:space="preserve">P3 </t>
  </si>
  <si>
    <t>8.1.3</t>
  </si>
  <si>
    <t>COMP 05</t>
  </si>
  <si>
    <t xml:space="preserve">PORTA EM MADEIRA LISA COMUM, ENCABEÇADA DE CORRER COM TRILHO DE ALUMÍNIO - FORNECIMENTO E INSTALAÇÃO. </t>
  </si>
  <si>
    <t>P6</t>
  </si>
  <si>
    <t>8.2</t>
  </si>
  <si>
    <t>ESQUADRIAS DE ALUMÍNIO</t>
  </si>
  <si>
    <t>8.2.1</t>
  </si>
  <si>
    <t>PEITORIL LINEAR EM GRANITO OU MÁRMORE, L = 15CM, COMPRIMENTO DE ATÉ 2M, ASSENTADO COM ARGAMASSA 1:6 COM ADITIVO. AF_11/2020</t>
  </si>
  <si>
    <t>8.2.2</t>
  </si>
  <si>
    <t>SOLEIRA EM GRANITO, LARGURA 15 CM, ESPESSURA 2,0 CM. AF_09/2020</t>
  </si>
  <si>
    <t>8.2.3</t>
  </si>
  <si>
    <t>COMP 04</t>
  </si>
  <si>
    <t xml:space="preserve">PORTA EM ALUMÍNIO ANODIZADO DE ABRIR, 2 FOLHAS, PARA VIDRO COM GUARNIÇÃO, INCLUSIVE VIDROS - FORNECIMENTO E INSTALAÇÃO. </t>
  </si>
  <si>
    <t>P5 - 2UN</t>
  </si>
  <si>
    <t>8.2.4</t>
  </si>
  <si>
    <t>PORTA EM ALUMÍNIO DE ABRIR TIPO VENEZIANA COM GUARNIÇÃO, FIXAÇÃO COM PARAFUSOS - FORNECIMENTO E INSTALAÇÃO. AF_12/2019</t>
  </si>
  <si>
    <t>P7 e P8</t>
  </si>
  <si>
    <t>8.2.5</t>
  </si>
  <si>
    <t>JANELA DE ALUMÍNIO TIPO MAXIM-AR, COM VIDROS, BATENTE E FERRAGENS. EXCLUSIVE ALIZAR, ACABAMENTO E CONTRAMARCO. FORNECIMENTO E INSTALAÇÃO. AF_12/2019</t>
  </si>
  <si>
    <t>J1,J2,J4 e J5</t>
  </si>
  <si>
    <t>8.2.6</t>
  </si>
  <si>
    <t>JANELA DE ALUMÍNIO DE CORRER COM 2 FOLHAS PARA VIDROS, COM VIDROS, BATENTE, ACABAMENTO COM ACETATO OU BRILHANTE E FERRAGENS. EXCLUSIVE ALIZAR E CONTRAMARCO. FORNECIMENTO E INSTALAÇÃO. AF_12/2019</t>
  </si>
  <si>
    <t>J3</t>
  </si>
  <si>
    <t>8.3</t>
  </si>
  <si>
    <t>ESQUADRIAS EM FERRO</t>
  </si>
  <si>
    <t>8.3.1</t>
  </si>
  <si>
    <t>COMP 09</t>
  </si>
  <si>
    <t>FORNECIMENTO E INSTALAÇÃO DE PORTÃO DE CORRER DE  1,50 X 2,45 M.</t>
  </si>
  <si>
    <t>P9</t>
  </si>
  <si>
    <t>8.3.2</t>
  </si>
  <si>
    <t>COMP 10</t>
  </si>
  <si>
    <t>FORNECIMENTO E INSTALAÇÃO DE PORTÃO DE CORRER, 2 FOLHAS, DE  3,90 X 2,45 M, COM ACIONAMENTO ELÉTRICO</t>
  </si>
  <si>
    <t>P10</t>
  </si>
  <si>
    <t>8.3.3</t>
  </si>
  <si>
    <t>COMP 12</t>
  </si>
  <si>
    <r>
      <rPr>
        <rFont val="Arial"/>
        <sz val="11.0"/>
      </rPr>
      <t>PORTA DE ABRIR DE FERRO EM CHAPA CORRUGADA, 2 FOLHAS</t>
    </r>
    <r>
      <rPr>
        <rFont val="Arial"/>
        <color rgb="FFFF0000"/>
        <sz val="11.0"/>
      </rPr>
      <t xml:space="preserve">, </t>
    </r>
    <r>
      <rPr>
        <rFont val="Arial"/>
        <sz val="11.0"/>
      </rPr>
      <t>DE 1,60X2,10 M</t>
    </r>
  </si>
  <si>
    <t>P1</t>
  </si>
  <si>
    <t>PINTURA</t>
  </si>
  <si>
    <t>9.1</t>
  </si>
  <si>
    <t>PINTURA EM AMBIENTES INTERNOS</t>
  </si>
  <si>
    <t>9.1.1</t>
  </si>
  <si>
    <t>APLICAÇÃO MANUAL DE MASSA ACRÍLICA EM PAREDES EXTERNAS DE CASAS, DUAS DEMÃOS. AF_05/2017</t>
  </si>
  <si>
    <t>9.1.2</t>
  </si>
  <si>
    <t>APLICAÇÃO DE FUNDO SELADOR ACRÍLICO EM PAREDES, UMA DEMÃO. AF_06/2014</t>
  </si>
  <si>
    <t>9.1.3</t>
  </si>
  <si>
    <t>APLICAÇÃO MANUAL DE PINTURA COM TINTA LÁTEX ACRÍLICA EM PAREDES, DUAS DEMÃOS. AF_06/2014</t>
  </si>
  <si>
    <t>9.1.4</t>
  </si>
  <si>
    <t>APLICAÇÃO DE FUNDO SELADOR ACRÍLICO EM TETO, UMA DEMÃO. AF_06/2014</t>
  </si>
  <si>
    <t>9.1.5</t>
  </si>
  <si>
    <t>APLICAÇÃO MANUAL DE PINTURA COM TINTA LÁTEX ACRÍLICA EM TETO, DUAS DEMÃOS. AF_06/2014</t>
  </si>
  <si>
    <t>9.2</t>
  </si>
  <si>
    <t>PINTURA EM AMBIENTES EXTERNOS</t>
  </si>
  <si>
    <t>9.2.1</t>
  </si>
  <si>
    <t>APLICAÇÃO MANUAL DE FUNDO SELADOR ACRÍLICO EM PAREDES EXTERNAS DE CASAS. AF_06/2014</t>
  </si>
  <si>
    <t>9.2.2</t>
  </si>
  <si>
    <t>APLICAÇÃO MANUAL DE PINTURA COM TINTA TEXTURIZADA ACRÍLICA EM PAREDES EXTERNAS DE CASAS, DUAS CORES. AF_06/2014</t>
  </si>
  <si>
    <t>MASSA TEXTURIZADA ACRÍLICA</t>
  </si>
  <si>
    <t>9.2.3</t>
  </si>
  <si>
    <t>APLICAÇÃO MANUAL DE TINTA LÁTEX ACRÍLICA EM PAREDE EXTERNAS DE CASAS,DUAS DEMÃOS. AF_11/2016</t>
  </si>
  <si>
    <t>TINTA ACRÍLICA</t>
  </si>
  <si>
    <t>9.2.4</t>
  </si>
  <si>
    <t>COMP 31</t>
  </si>
  <si>
    <t>REGULARIZAÇÃO DE LAJE COM INCLINAÇÃO DE 2%</t>
  </si>
  <si>
    <t xml:space="preserve">BEIRAL </t>
  </si>
  <si>
    <t>9.2.5</t>
  </si>
  <si>
    <t>ITEM 13.9 - QTITQTIVO ARQ</t>
  </si>
  <si>
    <t xml:space="preserve">COBERTURA </t>
  </si>
  <si>
    <t>10.1</t>
  </si>
  <si>
    <t>ESTRUTURA METÁLICA</t>
  </si>
  <si>
    <t>RENAN PARIS</t>
  </si>
  <si>
    <t>10.1.1</t>
  </si>
  <si>
    <t>COMP ESTR 05</t>
  </si>
  <si>
    <t>FORNECIMENTO E MONTAGEM DE ESTRUTURA METÁLICA PARA COBERTURA, EXECUTADA EM PERFIS LAMINADOS/SOLDADOS/DOBRADOS DE CHAPAS DE AÇO, CONFORME PROJETOS ESTRUTURAIS</t>
  </si>
  <si>
    <t>10.1.2</t>
  </si>
  <si>
    <t>COMP ESTR 06</t>
  </si>
  <si>
    <t xml:space="preserve">MONTAGEM DE ESTRUTURA METÁLICA </t>
  </si>
  <si>
    <t>10.1.3</t>
  </si>
  <si>
    <t>COMP ESTR 07</t>
  </si>
  <si>
    <t>FORNECIMENTO E COLOCAÇÃO DE CHUMBADOR PARABOLT WALSYWA CBPL 14300 1/4" OU EQUIVALENTE</t>
  </si>
  <si>
    <t>10.1.4</t>
  </si>
  <si>
    <t>PINTURA COM TINTA ALQUÍDICA DE ACABAMENTO (ESMALTE SINTÉTICO FOSCO) PULVERIZADA SOBRE PERFIL METÁLICO EXECUTADO EM FÁBRICA (POR DEMÃO). AF_01/2020_P</t>
  </si>
  <si>
    <t>10.2</t>
  </si>
  <si>
    <t>TELHAMENTO E ACESSÓRIOS</t>
  </si>
  <si>
    <t>10.2.1</t>
  </si>
  <si>
    <t>COMP 32</t>
  </si>
  <si>
    <t>TELHAMENTO COM TELHA ISOLANTE COM NUCLEO EM POLIESTIRENO (EPS), E = 30 MM,REVESTIDA EM ACO ZINCADO *0,5* MM COM PRE-PINTURA NAS DUAS FACES, FACE SUPERIOR EM TELHA TRAPEZOIDAL E FACE INFERIOR EM CHAPA PLANA</t>
  </si>
  <si>
    <t>INSTALAÇÕES ELÉTRICAS</t>
  </si>
  <si>
    <t>MURILO REBELATO</t>
  </si>
  <si>
    <t>11.1</t>
  </si>
  <si>
    <t>INSTALAÇÕES ELÉTRICAS EM BAIXA TENSÃO</t>
  </si>
  <si>
    <t>11.1.1</t>
  </si>
  <si>
    <t>QUADRO DE DISTRIBUIÇÃO DE ENERGIA EM CHAPA DE AÇO GALVANIZADO, DE EMBUTIR, COM BARRAMENTO TRIFÁSICO, PARA 30 DISJUNTORES DIN 150A - FORNECIMENTO E INSTALAÇÃO. AF_10/2020</t>
  </si>
  <si>
    <t>11.1.2</t>
  </si>
  <si>
    <t>COMP ELE 20</t>
  </si>
  <si>
    <t>CAIXA PARA MEDIÇÃO DIRETA PADRÃO ENERGISA (1.00 x 0.60 x 0.20 m) EM CHAPA DE ALUMÍNIO 2mm</t>
  </si>
  <si>
    <t>T4</t>
  </si>
  <si>
    <t>11.1.3</t>
  </si>
  <si>
    <t>CABO DE COBRE FLEXÍVEL ISOLADO, 16 MM², ANTI-CHAMA 0,6/1,0 KV, PARA CIRCUITOS TERMINAIS - FORNECIMENTO E INSTALAÇÃO. AF_12/2015</t>
  </si>
  <si>
    <t>11.1.4</t>
  </si>
  <si>
    <t>CABO DE COBRE FLEXÍVEL ISOLADO, 25 MM², ANTI-CHAMA 0,6/1,0 KV, PARA REDE ENTERRADA DE DISTRIBUIÇÃO DE ENERGIA ELÉTRICA - FORNECIMENTO E INSTALAÇÃO. AF_12/2021</t>
  </si>
  <si>
    <t>11.1.5</t>
  </si>
  <si>
    <t>CABO DE COBRE FLEXÍVEL ISOLADO, 2,5 MM², ANTI-CHAMA 450/750 V, PARA CIRCUITOS TERMINAIS - FORNECIMENTO E INSTALAÇÃO. AF_12/2015</t>
  </si>
  <si>
    <t>11.1.6</t>
  </si>
  <si>
    <t xml:space="preserve">CABO DE COBRE FLEXÍVEL ISOLADO, 4 MM², ANTI-CHAMA 450/750 V, PARA CIRCUITOS TERMINAIS - FORNECIMENTO E INSTALAÇÃO. AF_12/2015 </t>
  </si>
  <si>
    <t>11.1.7</t>
  </si>
  <si>
    <t xml:space="preserve">CABO DE COBRE FLEXÍVEL ISOLADO, 1,5 MM², ANTI-CHAMA 450/750 V, PARA CIRCUITOS TERMINAIS - FORNECIMENTO E INSTALAÇÃO. AF_12/2015 </t>
  </si>
  <si>
    <t>11.1.8</t>
  </si>
  <si>
    <t>COMP ELE 35</t>
  </si>
  <si>
    <t>CONDULETE PVC ENCAIXE TIPO C 3/4"</t>
  </si>
  <si>
    <t>11.1.9</t>
  </si>
  <si>
    <t>COMP ELE 39</t>
  </si>
  <si>
    <t>CONDULETE PVC ENCAIXE TIPO T  1"</t>
  </si>
  <si>
    <t>11.1.10</t>
  </si>
  <si>
    <t>COMP ELE 37</t>
  </si>
  <si>
    <t>CONDULETE PVC ENCAIXE TIPO LR 3/4"</t>
  </si>
  <si>
    <t>11.1.11</t>
  </si>
  <si>
    <t>COMP ELE 38</t>
  </si>
  <si>
    <t>CONDULETE PVC ENCAIXE TIPO LR  1"</t>
  </si>
  <si>
    <t>11.1.12</t>
  </si>
  <si>
    <t>COMP ELE 36</t>
  </si>
  <si>
    <t>CONDULETE PVC ENCAIXE TIPO LL 3/4"</t>
  </si>
  <si>
    <t>11.1.13</t>
  </si>
  <si>
    <t>LUVA PARA ELETRODUTO, PVC, ROSCÁVEL, DN 25 MM (3/4"), PARA CIRCUITOS TERMINAIS, INSTALADA EM LAJE - FORNECIMENTO E INSTALAÇÃO. AF_12/2015</t>
  </si>
  <si>
    <t>11.1.14</t>
  </si>
  <si>
    <t>COMP ELE 21</t>
  </si>
  <si>
    <t>INTERRUPTOR DR TETRAPOLAR 100A</t>
  </si>
  <si>
    <t>11.1.15</t>
  </si>
  <si>
    <t>INTERRUPTOR SIMPLES (1 MÓDULO), 10A/250V, INCLUINDO SUPORTE E PLACA - FORNECIMENTO E INSTALAÇÃO. AF_12/2015</t>
  </si>
  <si>
    <t>7+8+2=17</t>
  </si>
  <si>
    <t>11.1.16</t>
  </si>
  <si>
    <t>INTERRUPTOR SIMPLES (2 MÓDULOS), 10A/250V, INCLUINDO SUPORTE E PLACA - FORNECIMENTO E INSTALAÇÃO. AF_12/2015</t>
  </si>
  <si>
    <t>11.1.17</t>
  </si>
  <si>
    <t>COMP ELE 22</t>
  </si>
  <si>
    <t>PLACA  PARA CAIXA 2X4", COM FURO CENTRAL</t>
  </si>
  <si>
    <t>11.1.18</t>
  </si>
  <si>
    <t>INTERRUPTOR SIMPLES (3 MÓDULOS), 10A/250V, INCLUINDO SUPORTE E PLACA - FORNECIMENTO E INSTALAÇÃO. AF_12/2015</t>
  </si>
  <si>
    <t>11.1.19</t>
  </si>
  <si>
    <t>INTERRUPTOR SIMPLES (1 MÓDULO) COM 1 TOMADA DE EMBUTIR 2P+T 10 A, SEM SUPORTE E SEM PLACA - FORNECIMENTO E INSTALAÇÃO. AF_12/2015</t>
  </si>
  <si>
    <t>1 TECLA SIMPLES E 1 TOMADA HEXAGONAL</t>
  </si>
  <si>
    <t>11.1.20</t>
  </si>
  <si>
    <t>INTERRUPTOR PARALELO (1 MÓDULO) COM 1 TOMADA DE EMBUTIR 2P+T 10 A, SEM SUPORTE E SEM PLACA - FORNECIMENTO E INSTALAÇÃO. AF_12/2015</t>
  </si>
  <si>
    <t>1 TECLA PARALELA E 1 TOMADA HEXAGONAL</t>
  </si>
  <si>
    <t>11.1.21</t>
  </si>
  <si>
    <t>TOMADA MÉDIA DE EMBUTIR (1 MÓDULO), 2P+T 10 A, SEM SUPORTE E SEM PLACA - FORNECIMENTO E INSTALAÇÃO. AF_12/2015</t>
  </si>
  <si>
    <t>11.1.22</t>
  </si>
  <si>
    <t>TOMADA BAIXA DE EMBUTIR (1 MÓDULO), 2P+T - 10A, INCLUINDO SUPORTE E PLACA - FORNECIMENTO E INSTALAÇÃO. AF_12/2015</t>
  </si>
  <si>
    <t>11.1.23</t>
  </si>
  <si>
    <t>TOMADA MÉDIA DE EMBUTIR (1 MÓDULO), 2P+T - 10A, INCLUINDO SUPORTE E PLACA - FORNECIMENTO E INSTALAÇÃO. AF_12/2015</t>
  </si>
  <si>
    <t>11.1.24</t>
  </si>
  <si>
    <t>TOMADA ALTA DE EMBUTIR (1 MÓDULO), 2P+T - 10A, INCLUINDO SUPORTE E PLACA - FORNECIMENTO E INSTALAÇÃO. AF_12/2015</t>
  </si>
  <si>
    <t>11.1.25</t>
  </si>
  <si>
    <t xml:space="preserve">TOMADA BAIXA DE EMBUTIR (2 MÓDULOS), 2P+T - 10A, INCLUINDO SUPORTE E PLACA - FORNECIMENTO E INSTALAÇÃO. </t>
  </si>
  <si>
    <t>11.1.26</t>
  </si>
  <si>
    <t>DISJUNTOR MONOPOLAR TIPO DIN, CORRENTE NOMINAL DE 10A - FORNECIMENTO E INSTALAÇÃO. AF_10/2020</t>
  </si>
  <si>
    <t>11.1.27</t>
  </si>
  <si>
    <t>DISJUNTOR BIPOLAR TIPO DIN, CORRENTE NOMINAL DE 16A - FORNECIMENTO E INSTALAÇÃO. AF_10/2020</t>
  </si>
  <si>
    <t>11.1.28</t>
  </si>
  <si>
    <t>DISJUNTOR BIPOLAR TIPO DIN, CORRENTE NOMINAL DE 10A - FORNECIMENTO E INSTALAÇÃO. AF_10/2020</t>
  </si>
  <si>
    <t>11.1.29</t>
  </si>
  <si>
    <t>DISJUNTOR TERMOMAGNÉTICO TRIPOLAR , CORRENTE NOMINAL DE 125A - FORNECIMENTO E INSTALAÇÃO. AF_10/2020</t>
  </si>
  <si>
    <t>11.1.30</t>
  </si>
  <si>
    <t>COMP ELE 24</t>
  </si>
  <si>
    <t>DISJUNTOR TERMOMAGNETICO TRIPOLAR DIN 100A ,40 KA FORNECIMENTO E INSTALACAO</t>
  </si>
  <si>
    <t>11.1.31</t>
  </si>
  <si>
    <t>COMP ELE 26</t>
  </si>
  <si>
    <t>DISJUNTOR TERMOMAGNETICO TRIPOLAR DIN 90A ,10 KA FORNECIMENTO E INSTALACAO</t>
  </si>
  <si>
    <t>11.1.32</t>
  </si>
  <si>
    <t>CAIXA RETANGULAR 4" X 2" BAIXA (0,30 M DO PISO), PVC, INSTALADA EM PAREDE - FORNECIMENTO E INSTALAÇÃO. AF_12/2015</t>
  </si>
  <si>
    <t>11.1.33</t>
  </si>
  <si>
    <t>CAIXA RETANGULAR 4" X 2" MÉDIA (1,30 M DO PISO), METÁLICA, INSTALADA EM PAREDE - FORNECIMENTO E INSTALAÇÃO. AF_12/2015</t>
  </si>
  <si>
    <t>11.1.34</t>
  </si>
  <si>
    <t>CAIXA RETANGULAR 4" X 2" ALTA (2,00 M DO PISO), PVC, INSTALADA EM PAREDE - FORNECIMENTO E INSTALAÇÃO. AF_12/2015</t>
  </si>
  <si>
    <t>11.1.35</t>
  </si>
  <si>
    <t>COMP ELE 23</t>
  </si>
  <si>
    <t>CAIXA DE PASSAGEM METÁLICA PINTADA DE EMBUTIR 300X300X120 MM - FORNECIMENTO E INSTALAÇÃO</t>
  </si>
  <si>
    <t>11.1.36</t>
  </si>
  <si>
    <t>COMP ELE 15</t>
  </si>
  <si>
    <t>CAIXA DE PASSAGEM METÁLICA PINTADA DE EMBUTIR 400X400X150 MM - FORNECIMENTO E INSTALAÇÃO</t>
  </si>
  <si>
    <t>11.1.37</t>
  </si>
  <si>
    <t>COMP ELE 25</t>
  </si>
  <si>
    <t>DISPOSITIVO DE PROTEÇÃO CONTRA SURTO (DPS) 175V - 10 KA</t>
  </si>
  <si>
    <t>11.1.38</t>
  </si>
  <si>
    <t>COMP ELE 11</t>
  </si>
  <si>
    <t>ABRAÇADEIRA METÁLICA TIPO "D" COM CUNHA DN 3/4"</t>
  </si>
  <si>
    <t>11.1.39</t>
  </si>
  <si>
    <t>COMP ELE 27</t>
  </si>
  <si>
    <t>ABRAÇADEIRA METÁLICA TIPO "D" COM UNHA DN 3/4"</t>
  </si>
  <si>
    <t>11.1.40</t>
  </si>
  <si>
    <t>ELETRODUTO RÍGIDO SOLDÁVEL, PVC, DN 25 MM (3/4_x0092__x0092_), APARENTE, INSTALADO EM TETO - FORNECIMENTO E INSTALAÇÃO. AF_11/2016</t>
  </si>
  <si>
    <t>11.1.41</t>
  </si>
  <si>
    <t>ELETRODUTO FLEXÍVEL CORRUGADO, PVC, DN 32 MM (1"), PARA CIRCUITOS TERMINAIS, INSTALADO EM LAJE - FORNECIMENTO E INSTALAÇÃO. AF_12/2015</t>
  </si>
  <si>
    <t>11.1.42</t>
  </si>
  <si>
    <t>ELETRODUTO FLEXÍVEL CORRUGADO, PVC, DN 25 MM (3/4"), PARA CIRCUITOS TERMINAIS, INSTALADO EM LAJE - FORNECIMENTO E INSTALAÇÃO. AF_12/2015</t>
  </si>
  <si>
    <t>11.1.43</t>
  </si>
  <si>
    <t>ELETRODUTO FLEXÍVEL CORRUGADO, PVC, DN 25 MM (3/4"), PARA CIRCUITOS TERMINAIS, INSTALADO EM PAREDE - FORNECIMENTO E INSTALAÇÃO. AF_12/2015</t>
  </si>
  <si>
    <t>11.1.44</t>
  </si>
  <si>
    <t>ELETRODUTO FLEXÍVEL CORRUGADO, PEAD, DN 50 (1 1/2"), PARA REDE ENTERRADA DE DISTRIBUIÇÃO DE ENERGIA ELÉTRICA - FORNECIMENTO E INSTALAÇÃO. AF_12/2021</t>
  </si>
  <si>
    <t>11.1.45</t>
  </si>
  <si>
    <t>COMP ELE 28</t>
  </si>
  <si>
    <t xml:space="preserve">LUMINÁRIA TIPO CALHA, DE EMBUTIR, COM 4 LÂMPADAS TUBULARES LED DE 20 W - FORNECIMENTO E INSTALAÇÃO. </t>
  </si>
  <si>
    <t>11.1.46</t>
  </si>
  <si>
    <t>COMP ELE 29</t>
  </si>
  <si>
    <t>LUMINARIA LED REFLETOR RETANGULAR BIVOLT, LUZ BRANCA, 50 W - FORNECIMENTO E INSTALAÇÃO</t>
  </si>
  <si>
    <t>11.1.47</t>
  </si>
  <si>
    <t>COMP ELE 30</t>
  </si>
  <si>
    <t>LUMINARIA LED REFLETOR RETANGULAR BIVOLT, LUZ BRANCA, 10 W - FORNECIMENTO E INSTALAÇÃO</t>
  </si>
  <si>
    <t>11.1.48</t>
  </si>
  <si>
    <t>COMP ELE 31</t>
  </si>
  <si>
    <t>RELÉ FOTOELÉTRICO P/ COMANDO DE ILUMINAÇÃO EXTERNA 127V/1200W - FORNECIMENTO E INSTALAÇÃO</t>
  </si>
  <si>
    <t>11.1.49</t>
  </si>
  <si>
    <t>COMP ELE 32</t>
  </si>
  <si>
    <t>TAMPA CEGA EM PVC PARA CONDULETE 4 X 2"</t>
  </si>
  <si>
    <t>11.1.50</t>
  </si>
  <si>
    <t>RASGO EM ALVENARIA PARA ELETRODUTOS COM DIAMETROS MENORES OU IGUAIS A 40 MM. AF_05/2015</t>
  </si>
  <si>
    <t>11.2</t>
  </si>
  <si>
    <t xml:space="preserve">CABEAMENTO ESTRUTURADO </t>
  </si>
  <si>
    <t>11.2.1</t>
  </si>
  <si>
    <t>COMP ELE 01</t>
  </si>
  <si>
    <t>CONECTOR FEMEA RJ - 45, CATEGORIA 6</t>
  </si>
  <si>
    <t>11.2.2</t>
  </si>
  <si>
    <t>PATCH PANEL 24 PORTAS, CATEGORIA 6 - FORNECIMENTO E INSTALAÇÃO. AF_11/2019</t>
  </si>
  <si>
    <t>11.2.3</t>
  </si>
  <si>
    <t>COMP ELE 04</t>
  </si>
  <si>
    <t>GUIA DE CABOS SIMPLES PARA RACK ABERTO 19"</t>
  </si>
  <si>
    <t>11.2.4</t>
  </si>
  <si>
    <t>COMP ELE 03</t>
  </si>
  <si>
    <t>GUIA DE CABOS VERTICAL PARA RACK ABERTO 19"</t>
  </si>
  <si>
    <t>11.2.5</t>
  </si>
  <si>
    <t>COMP ELE 02</t>
  </si>
  <si>
    <t>GUIA ORGANIZADORA DE CABOS HORIZONTAL, 19´ 1 U</t>
  </si>
  <si>
    <t>11.2.6</t>
  </si>
  <si>
    <t>COMP ELE 05</t>
  </si>
  <si>
    <t>SWITCH (10/100)BASE TX + (1000)BASE T (24 + 2) PORTAS</t>
  </si>
  <si>
    <t>11.2.7</t>
  </si>
  <si>
    <t>COMP ELE 09</t>
  </si>
  <si>
    <t>BANDEJA DESLIZANTE PERFURADA COM ANEL ORGANIZADOR DE CABOS E PÉS NIVELADORES</t>
  </si>
  <si>
    <t>11.2.8</t>
  </si>
  <si>
    <t>11.2.9</t>
  </si>
  <si>
    <t>11.2.10</t>
  </si>
  <si>
    <t>COMP ELE 13</t>
  </si>
  <si>
    <t xml:space="preserve">CAIXA DE PASSAGEM ENTERRADA EM ALVENARIA DE 400X400X400MM, COM TAMPA 400X400X50MM </t>
  </si>
  <si>
    <t>11.2.11</t>
  </si>
  <si>
    <t>COMP ELE 14</t>
  </si>
  <si>
    <t>CAIXA DE PASSAGEM METÁLICA PINTADA DE SOBREPOR 250X250X100 MM - FORNECIMENTO E INSTALAÇÃO</t>
  </si>
  <si>
    <t>11.2.12</t>
  </si>
  <si>
    <t>CAIXA DE PASSAGEM METÁLICA PINTADA DE SOBREPOR 400X400X150 MM - FORNECIMENTO E INSTALAÇÃO</t>
  </si>
  <si>
    <t>11.2.13</t>
  </si>
  <si>
    <t>CABO ELETRÔNICO CATEGORIA 5E, INSTALADO EM EDIFICAÇÃO INSTITUCIONAL - FORNECIMENTO E INSTALAÇÃO. AF_11/2019</t>
  </si>
  <si>
    <t>UTP - 5E</t>
  </si>
  <si>
    <t>11.2.14</t>
  </si>
  <si>
    <t>COMP ELE 34</t>
  </si>
  <si>
    <t>CABO DE REDE FTP 5E 24 AWG</t>
  </si>
  <si>
    <t>(CABO BLINDADO)</t>
  </si>
  <si>
    <t>11.2.15</t>
  </si>
  <si>
    <t>COMP ELE 10</t>
  </si>
  <si>
    <t>PLUGUE 110 IDC - 4 PARES</t>
  </si>
  <si>
    <t>11.2.16</t>
  </si>
  <si>
    <t>COMP ELE 16</t>
  </si>
  <si>
    <t>CONECTOR MACHO RJ45 (CM8v)</t>
  </si>
  <si>
    <t>11.2.17</t>
  </si>
  <si>
    <t>COMP ELE 33</t>
  </si>
  <si>
    <t>FORNECIMENTO E INSTALAÇÃO DE CENTRAL TELEFÔNICA PABX</t>
  </si>
  <si>
    <t>11.2.18</t>
  </si>
  <si>
    <t>TOMADA DE REDE RJ45 - FORNECIMENTO  E INSTALAÇÃO. AF_11/2019</t>
  </si>
  <si>
    <t>11.2.19</t>
  </si>
  <si>
    <t>CONDULETE DE ALUMÍNIO, TIPO C, PARA ELETRODUTO DE AÇO GALVANIZADO DN 25 MM (1''), APARENTE - FORNECIMENTO E INSTALAÇÃO. AF_11/2016_P</t>
  </si>
  <si>
    <t>11.2.20</t>
  </si>
  <si>
    <t>COMP ELE 06</t>
  </si>
  <si>
    <t>PLACA 2x4" - BRANCA 1 MÓDULO - RJ45</t>
  </si>
  <si>
    <t>11.2.21</t>
  </si>
  <si>
    <t>COMP ELE 07</t>
  </si>
  <si>
    <t>PLACA 2x4" - BRANCA 2 MÓDULOS - RJ45</t>
  </si>
  <si>
    <t>11.2.22</t>
  </si>
  <si>
    <t>11.2.23</t>
  </si>
  <si>
    <t>11.2.24</t>
  </si>
  <si>
    <t>ELETRODUTO RÍGIDO ROSCÁVEL, PVC, DN 25 MM (3/4"), PARA CIRCUITOS TERMINAIS, INSTALADO EM FORRO - FORNECIMENTO E INSTALAÇÃO. AF_12/2015</t>
  </si>
  <si>
    <t>11.2.25</t>
  </si>
  <si>
    <t>ELETRODUTO FLEXÍVEL LISO, PEAD, DN 40 MM (1 1/4"), PARA CIRCUITOS TERMINAIS, INSTALADO EM FORRO - FORNECIMENTO E INSTALAÇÃO. AF_12/2015</t>
  </si>
  <si>
    <t>11.2.26</t>
  </si>
  <si>
    <t>11.2.27</t>
  </si>
  <si>
    <t>COMP ELE 12</t>
  </si>
  <si>
    <t>PARAFUSO EM AÇO ZINCADO COM ROSCA SOBERBA, CABEÇA CHATA E FENDA PHILLIPS COM BUCHA DE NYLON S6 - FORNECIMENTO E FIXAÇÃO</t>
  </si>
  <si>
    <t>11.2.28</t>
  </si>
  <si>
    <t>COMP ELE 08</t>
  </si>
  <si>
    <t>CAIXA PADRÃO 19" - ABERTO 12 U</t>
  </si>
  <si>
    <t>Rack Aberto padrão - 19" 12U</t>
  </si>
  <si>
    <t>SPDA</t>
  </si>
  <si>
    <t>12.1</t>
  </si>
  <si>
    <t>COMP ELE 17</t>
  </si>
  <si>
    <t>CAIXA DE EQUIPOTENCIALIZAÇÃO EM AÇO,COM 5 TERMINAIS</t>
  </si>
  <si>
    <t>12.2</t>
  </si>
  <si>
    <t>CAIXA DE INSPEÇÃO PARA ATERRAMENTO, CIRCULAR, EM POLIETILENO, DIÂMETRO INTERNO = 0,3 M. AF_12/2020</t>
  </si>
  <si>
    <t>12.3</t>
  </si>
  <si>
    <t>HASTE DE ATERRAMENTO 3/4 PARA SPDA - FORNECIMENTO E INSTALAÇÃO. AF_12/2017</t>
  </si>
  <si>
    <t>12.4</t>
  </si>
  <si>
    <t>CORDOALHA DE COBRE NU 25 MM², NÃO ENTERRADA, COM ISOLADOR - FORNECIMENTO E INSTALAÇÃO. AF_12/2017</t>
  </si>
  <si>
    <t>12.5</t>
  </si>
  <si>
    <t>CORDOALHA DE COBRE NU 35 MM², NÃO ENTERRADA, COM ISOLADOR - FORNECIMENTO E INSTALAÇÃO. AF_12/2017</t>
  </si>
  <si>
    <t>12.6</t>
  </si>
  <si>
    <t>CORDOALHA DE COBRE NU 50 MM², NÃO ENTERRADA, COM ISOLADOR - FORNECIMENTO E INSTALAÇÃO. AF_12/2017</t>
  </si>
  <si>
    <t>12.7</t>
  </si>
  <si>
    <t xml:space="preserve">COMP ELE 19 </t>
  </si>
  <si>
    <t>TERMINAL AÉREO (CAPTOR) - 600MM - FIXAÇÃO HORIZONTAL</t>
  </si>
  <si>
    <t>INSTALAÇÕES HIDRÁULICAS</t>
  </si>
  <si>
    <t>ADELMO</t>
  </si>
  <si>
    <t>13.1</t>
  </si>
  <si>
    <t>JOELHO 90 GRAUS, PVC, SOLDÁVEL, DN 25MM, INSTALADO EM RAMAL DE DISTRIBUIÇÃO DE ÁGUA - FORNECIMENTO E INSTALAÇÃO. AF_06/2022</t>
  </si>
  <si>
    <t>13.2</t>
  </si>
  <si>
    <t>COMP HIDR 01</t>
  </si>
  <si>
    <t xml:space="preserve">JOELHO 90 GRAUS, PVC, SOLDÁVEL - ÁGUA FRIA, DN 50MM,FORNECIMENTO E INSTALAÇÃO. </t>
  </si>
  <si>
    <t>13.3</t>
  </si>
  <si>
    <t>COMP HIDR 02</t>
  </si>
  <si>
    <t>JOELHO DE REDUCAO, PVC SOLDAVEL, 90 GRAUS, 32 MM X 25 MM, PARA AGUA FRIA PREDIAL</t>
  </si>
  <si>
    <t>13.4</t>
  </si>
  <si>
    <t>COMP HIDR 03</t>
  </si>
  <si>
    <t>JOELHO DE REDUÇÃO 90 GRAUS SOLDÁVEL COM BUCHA DE LATÃO 3/4" - 1/2"</t>
  </si>
  <si>
    <t>13.5</t>
  </si>
  <si>
    <t>COMP HIDR 04</t>
  </si>
  <si>
    <t>COLAR TOMADA PVC,C/ TRAVAS, SAÍDA C/ ROSCAS, DE 75MMX3/4"  PARA LIGAÇÃO PREDIAL DE  ÁGUA.</t>
  </si>
  <si>
    <t>13.6</t>
  </si>
  <si>
    <t>LUVA, PVC, SOLDÁVEL, DN 25MM, INSTALADO EM RAMAL OU SUB-RAMAL DE ÁGUA - FORNECIMENTO E INSTALAÇÃO. AF_06/2022</t>
  </si>
  <si>
    <t>13.7</t>
  </si>
  <si>
    <t>LUVA, PVC, SOLDÁVEL, DN 50MM, INSTALADO EM PRUMADA DE ÁGUA - FORNECIMENTO E INSTALAÇÃO. AF_06/2022</t>
  </si>
  <si>
    <t>13.8</t>
  </si>
  <si>
    <t>TUBO, PVC, SOLDÁVEL, DN 25MM, INSTALADO EM RAMAL OU SUB-RAMAL DE ÁGUA - FORNECIMENTO E INSTALAÇÃO. AF_06/2022</t>
  </si>
  <si>
    <t>13.9</t>
  </si>
  <si>
    <t>COMP HIDR 05</t>
  </si>
  <si>
    <t xml:space="preserve">TUBO, PVC, SOLDÁVEL, DN 50MM, FORNECIMENTO E INSTALAÇÃO. </t>
  </si>
  <si>
    <t>13.10</t>
  </si>
  <si>
    <t>VÁLVULA DE DESCARGA METÁLICA, BASE 1 1/2", ACABAMENTO METALICO CROMADO - FORNECIMENTO E INSTALAÇÃO. AF_08/2021</t>
  </si>
  <si>
    <t>13.11</t>
  </si>
  <si>
    <t>REGISTRO DE GAVETA BRUTO, LATÃO, ROSCÁVEL, 3/4", COM ACABAMENTO E CANOPLA CROMADOS - FORNECIMENTO E INSTALAÇÃO. AF_08/2021</t>
  </si>
  <si>
    <t>13.12</t>
  </si>
  <si>
    <t>REGISTRO DE ESFERA, PVC, ROSCÁVEL, COM VOLANTE, 3/4" - FORNECIMENTO E INSTALAÇÃO. AF_08/2021</t>
  </si>
  <si>
    <t>13.13</t>
  </si>
  <si>
    <t>REGISTRO DE GAVETA BRUTO, LATÃO, ROSCÁVEL, 1 1/2", COM ACABAMENTO E CANOPLA CROMADOS - FORNECIMENTO E INSTALAÇÃO. AF_08/2021</t>
  </si>
  <si>
    <t>13.14</t>
  </si>
  <si>
    <t>REGISTRO DE GAVETA BRUTO, LATÃO, ROSCÁVEL, 1 1/2" - FORNECIMENTO E INSTALAÇÃO. AF_08/2021</t>
  </si>
  <si>
    <t>13.15</t>
  </si>
  <si>
    <t>LUVA SOLDÁVEL E COM ROSCA, PVC, SOLDÁVEL, DN 25MM X 3/4 , INSTALADO EM RAMAL OU SUB-RAMAL DE ÁGUA - FORNECIMENTO E INSTALAÇÃO. AF_06/2022</t>
  </si>
  <si>
    <t>13.16</t>
  </si>
  <si>
    <t>ADAPTADOR COM FLANGE E ANEL DE VEDAÇÃO, PVC, SOLDÁVEL, DN 25 MM X 3/4 , INSTALADO EM RESERVAÇÃO DE ÁGUA DE EDIFICAÇÃO QUE POSSUA RESERVATÓRIO DE FIBRA/FIBROCIMENTO FORNECIMENTO E INSTALAÇÃO. AF_06/2016</t>
  </si>
  <si>
    <t>13.17</t>
  </si>
  <si>
    <t>ADAPTADOR COM FLANGE E ANEL DE VEDAÇÃO, PVC, SOLDÁVEL, DN 50 MM X 1 1/2 , INSTALADO EM RESERVAÇÃO DE ÁGUA DE EDIFICAÇÃO QUE POSSUA RESERVATÓRIO DE FIBRA/FIBROCIMENTO   FORNECIMENTO E INSTALAÇÃO. AF_06/2016</t>
  </si>
  <si>
    <t>13.18</t>
  </si>
  <si>
    <t>ADAPTADOR CURTO COM BOLSA E ROSCA PARA REGISTRO, PVC, SOLDÁVEL, DN 25MM X 3/4 , INSTALADO EM RAMAL OU SUB-RAMAL DE ÁGUA - FORNECIMENTO E INSTALAÇÃO. AF_06/2022</t>
  </si>
  <si>
    <t>13.19</t>
  </si>
  <si>
    <t>COMP HIDR 06</t>
  </si>
  <si>
    <t>ADAPTADOR CURTO COM BOLSA E ROSCA PARA REGISTRO, PVC, SOLDÁVEL, DN 50MM X 1.1/2_x0094_,FORNECIMENTO E INSTALAÇÃO.</t>
  </si>
  <si>
    <t>13.20</t>
  </si>
  <si>
    <t>COMP HIDR 07</t>
  </si>
  <si>
    <t xml:space="preserve">BUCHA DE REDUCAO DE PVC, SOLDAVEL, LONGA, COM 50 X 25 MM, PARA AGUA FRIA PREDIAL, FORNECIMENTO E INSTALAÇÃO. </t>
  </si>
  <si>
    <t>13.21</t>
  </si>
  <si>
    <t>TE, PVC, SOLDÁVEL, DN 25MM, INSTALADO EM RAMAL OU SUB-RAMAL DE ÁGUA - FORNECIMENTO E INSTALAÇÃO. AF_06/2022</t>
  </si>
  <si>
    <t>13.22</t>
  </si>
  <si>
    <t>COMP HIDR  08</t>
  </si>
  <si>
    <t>TÊ DE REDUÇÃO, PVC, SOLDÁVEL, DN 50MM X 25MM, FORNECIMENTO E INSTALAÇÃO.</t>
  </si>
  <si>
    <t>13.23</t>
  </si>
  <si>
    <t>COMP HIDR 09</t>
  </si>
  <si>
    <t xml:space="preserve">TÊ, PVC, SOLDÁVEL, DN 50MM, FORNECIMENTO E INSTALAÇÃO. </t>
  </si>
  <si>
    <t>13.24</t>
  </si>
  <si>
    <t>JOELHO 90 GRAUS COM BUCHA DE LATÃO, PVC, SOLDÁVEL, DN 25MM, X 3/4 INSTALADO EM RAMAL OU SUB-RAMAL DE ÁGUA - FORNECIMENTO E INSTALAÇÃO. AF_06/2022</t>
  </si>
  <si>
    <t>13.25</t>
  </si>
  <si>
    <t>ENGATE FLEXÍVEL EM PLÁSTICO BRANCO, 1/2_x0094_ X 30CM - FORNECIMENTO E INSTALAÇÃO. AF_01/2020</t>
  </si>
  <si>
    <t>13.26</t>
  </si>
  <si>
    <t>COMP HIDR  23</t>
  </si>
  <si>
    <t>RESERVATÓRIO EM FIBRA DE VIDRO COM TAMPA - CAPACIDADE 2000 LITROS</t>
  </si>
  <si>
    <t>13.27</t>
  </si>
  <si>
    <t>COMP HIDR 10</t>
  </si>
  <si>
    <t>CAIXA DE DESCARGA PLASTICA DE EMBUTIR COMPLETA, COM ESPELHO PLASTICO, BRANCA, CAPACIDADE 6 A 10 L,FORNECIMENTO E INSTALAÇÃO</t>
  </si>
  <si>
    <t>13.28</t>
  </si>
  <si>
    <t>COMP HIDR  11</t>
  </si>
  <si>
    <t>TUBO DE LIGAÇÃO PVC P/ SAÍDA DE VASO SANITÁRIO, DN 38MM</t>
  </si>
  <si>
    <t>13.29</t>
  </si>
  <si>
    <t>VASO SANITÁRIO SIFONADO COM CAIXA ACOPLADA LOUÇA BRANCA, INCLUSO ENGATE FLEXÍVEL EM PLÁSTICO BRANCO, 1/2 X 40CM - FORNECIMENTO E INSTALAÇÃO. AF_01/2020</t>
  </si>
  <si>
    <t>13.30</t>
  </si>
  <si>
    <t>VASO SANITARIO SIFONADO CONVENCIONAL PARA PCD SEM FURO FRONTAL COM LOUÇA BRANCA SEM ASSENTO, INCLUSO CONJUNTO DE LIGAÇÃO PARA BACIA SANITÁRIA AJUSTÁVEL - FORNECIMENTO E INSTALAÇÃO. AF_01/2020</t>
  </si>
  <si>
    <t>APARELHOS E METAIS</t>
  </si>
  <si>
    <t>14.1</t>
  </si>
  <si>
    <t>COMP HIDR  12</t>
  </si>
  <si>
    <t>DUCHA HIGIENICA PLASTICA COM REGISTRO METALICO 1/2 "</t>
  </si>
  <si>
    <t>14.2</t>
  </si>
  <si>
    <t>LAVATÓRIO LOUÇA BRANCA SUSPENSO, 29,5 X 39CM OU EQUIVALENTE, PADRÃO POPULAR, INCLUSO SIFÃO FLEXÍVEL EM PVC, VÁLVULA E ENGATE FLEXÍVEL 30CM EM PLÁSTICO E TORNEIRA CROMADA DE MESA, PADRÃO POPULAR - FORNECIMENTO E INSTALAÇÃO. AF_01/2020</t>
  </si>
  <si>
    <t>14.3</t>
  </si>
  <si>
    <t>LAVATÓRIO LOUÇA BRANCA COM COLUNA, 45 X 55CM OU EQUIVALENTE, PADRÃO MÉDIO - FORNECIMENTO E INSTALAÇÃO. AF_01/2020</t>
  </si>
  <si>
    <t>14.4</t>
  </si>
  <si>
    <t>CUBA DE EMBUTIR OVAL EM LOUÇA BRANCA, 35 X 50CM OU EQUIVALENTE - FORNECIMENTO E INSTALAÇÃO. AF_01/2020</t>
  </si>
  <si>
    <t>14.5</t>
  </si>
  <si>
    <t>CUBA DE EMBUTIR RETANGULAR DE AÇO INOXIDÁVEL, 46 X 30 X 12 CM - FORNECIMENTO E INSTALAÇÃO. AF_01/2020</t>
  </si>
  <si>
    <t>14.6</t>
  </si>
  <si>
    <t>TORNEIRA CROMADA LONGA, DE PAREDE, 1/2_x0094_ OU 3/4_x0094_, PARA PIA DE COZINHA, PADRÃO POPULAR - FORNECIMENTO E INSTALAÇÃO. AF_01/2020</t>
  </si>
  <si>
    <t>14.7</t>
  </si>
  <si>
    <t>TORNEIRA CROMADA DE MESA, 1/2_x0094_ OU 3/4_x0094_, PARA LAVATÓRIO, PADRÃO MÉDIO - FORNECIMENTO E INSTALAÇÃO. AF_01/2020</t>
  </si>
  <si>
    <t>14.8</t>
  </si>
  <si>
    <t>TORNEIRA CROMADA 1/2_x0094_ OU 3/4_x0094_ PARA TANQUE, PADRÃO MÉDIO - FORNECIMENTO E INSTALAÇÃO. AF_01/2020</t>
  </si>
  <si>
    <t>14.9</t>
  </si>
  <si>
    <t>COMP 06</t>
  </si>
  <si>
    <t>FORNECIMENTO E INSTALAÇÃO DE BARRA DE APOIO RETA,EM ALUMÍNIO,40 CM - FIXADA  EM PAREDE</t>
  </si>
  <si>
    <t>14.10</t>
  </si>
  <si>
    <t>COMP 15</t>
  </si>
  <si>
    <t>FORNECIMENTO E INSTALAÇÃO DE BARRA DE APOIO RETA,EM ALUMÍNIO,80 CM-FIXADA NA PAREDE</t>
  </si>
  <si>
    <t>14.11</t>
  </si>
  <si>
    <t>COMP 16</t>
  </si>
  <si>
    <t>FORNECIMENTO E INSTALAÇÃO DE BARRA DE APOIO RETA,EM ALUMÍNIO,70 CM-FIXADA NA PAREDE</t>
  </si>
  <si>
    <t>14.12</t>
  </si>
  <si>
    <t>SABONETEIRA PLASTICA TIPO DISPENSER PARA SABONETE LIQUIDO COM RESERVATORIO 800 A 1500 ML, INCLUSO FIXAÇÃO. AF_01/2020</t>
  </si>
  <si>
    <t>14.13</t>
  </si>
  <si>
    <t>COMP 17</t>
  </si>
  <si>
    <t>ESPELHO PARA BANHEIRO ESPESSURA 4 MM, INCLUINDO CHAPA COMPENSADA 10 MM, MOLDURA DEE ALUMÍNIO EM PERFIL 3/4", FIXADO COM PARAFUSOS CROMADOS.</t>
  </si>
  <si>
    <t>14.14</t>
  </si>
  <si>
    <t>COMP 18</t>
  </si>
  <si>
    <t>PORTA PAPEL HIGIÊNICO - POLIPROPELENO</t>
  </si>
  <si>
    <t>14.15</t>
  </si>
  <si>
    <t>COMP 19</t>
  </si>
  <si>
    <t>PORTA PAPEL TOALHA - POLIPROPELENO</t>
  </si>
  <si>
    <t>SERVIÇOS DE INSTALAÇÕES DE ESGOTO PREDIAL</t>
  </si>
  <si>
    <t>15.1</t>
  </si>
  <si>
    <t>SERVIÇOS DE INSTALAÇÕES SANITÁRIAS</t>
  </si>
  <si>
    <t>15.1.1</t>
  </si>
  <si>
    <t>CAIXA SIFONADA, PVC, DN 100 X 100 X 50 MM, JUNTA ELÁSTICA, FORNECIDA E INSTALADA EM RAMAL DE DESCARGA OU EM RAMAL DE ESGOTO SANITÁRIO. AF_08/2022</t>
  </si>
  <si>
    <t>15.1.2</t>
  </si>
  <si>
    <t>COMP HIDR 14</t>
  </si>
  <si>
    <t>CAIXA SIFONADA, PVC, DN 150 X 150 X 50 MM, FORNECIDA E INSTALADA EM RAMAL DE DESCARGA OU EM RAMAL DE ESGOTO SANITÁRIO. AF_12/2014</t>
  </si>
  <si>
    <t>15.1.3</t>
  </si>
  <si>
    <t>JOELHO 45 GRAUS, PVC, SERIE NORMAL, ESGOTO PREDIAL, DN 50 MM, JUNTA ELÁSTICA, FORNECIDO E INSTALADO EM RAMAL DE DESCARGA OU RAMAL DE ESGOTO SANITÁRIO. AF_08/2022</t>
  </si>
  <si>
    <t>15.1.4</t>
  </si>
  <si>
    <t>JOELHO 45 GRAUS, PVC, SERIE NORMAL, ESGOTO PREDIAL, DN 100 MM, JUNTA ELÁSTICA, FORNECIDO E INSTALADO EM RAMAL DE DESCARGA OU RAMAL DE ESGOTO SANITÁRIO. AF_08/2022</t>
  </si>
  <si>
    <t>15.1.5</t>
  </si>
  <si>
    <t>JOELHO 90 GRAUS, PVC, SERIE NORMAL, ESGOTO PREDIAL, DN 75 MM, JUNTA ELÁSTICA, FORNECIDO E INSTALADO EM RAMAL DE DESCARGA OU RAMAL DE ESGOTO SANITÁRIO. AF_08/2022</t>
  </si>
  <si>
    <t>15.1.6</t>
  </si>
  <si>
    <t>JOELHO 90 GRAUS, PVC, SERIE NORMAL, ESGOTO PREDIAL, DN 40 MM, JUNTA SOLDÁVEL, FORNECIDO E INSTALADO EM RAMAL DE DESCARGA OU RAMAL DE ESGOTO SANITÁRIO. AF_08/2022</t>
  </si>
  <si>
    <t>15.1.7</t>
  </si>
  <si>
    <t>JOELHO 90 GRAUS, PVC, SERIE NORMAL, ESGOTO PREDIAL, DN 50 MM, JUNTA ELÁSTICA, FORNECIDO E INSTALADO EM RAMAL DE DESCARGA OU RAMAL DE ESGOTO SANITÁRIO. AF_08/2022</t>
  </si>
  <si>
    <t>15.1.8</t>
  </si>
  <si>
    <t>OELHO 90 GRAUS, PVC, SERIE NORMAL, ESGOTO PREDIAL, DN 100 MM, JUNTA ELÁSTICA, FORNECIDO E INSTALADO EM RAMAL DE DESCARGA OU RAMAL DE ESGOTO SANITÁRIO. AF_08/2022</t>
  </si>
  <si>
    <t>15.1.9</t>
  </si>
  <si>
    <t>COMP HIDR 15</t>
  </si>
  <si>
    <t>JOELHO DE REDUÇÃO 90 GRAUS 40MM X 11/2"</t>
  </si>
  <si>
    <t>15.1.10</t>
  </si>
  <si>
    <t>COMP HIDR 16</t>
  </si>
  <si>
    <t>JUNÇÃO SIMPLES, PVC, SERIE NORMAL, ESGOTO PREDIAL, DN 100 X 50 MM, JUNTA ELÁSTICA, FORNECIDO E INSTALADO EM RAMAL DE DESCARGA OU RAMAL DE ESGOTO SANITÁRIO. AF_12/2014</t>
  </si>
  <si>
    <t>15.1.11</t>
  </si>
  <si>
    <t>JUNÇÃO SIMPLES, PVC, SERIE NORMAL, ESGOTO PREDIAL, DN 50 X 50 MM, JUNTA ELÁSTICA, FORNECIDO E INSTALADO EM RAMAL DE DESCARGA OU RAMAL DE ESGOTO SANITÁRIO. AF_08/2022</t>
  </si>
  <si>
    <t>15.1.12</t>
  </si>
  <si>
    <t>JUNÇÃO SIMPLES, PVC, SERIE NORMAL, ESGOTO PREDIAL, DN 100 X 100 MM, JUNTA ELÁSTICA, FORNECIDO E INSTALADO EM RAMAL DE DESCARGA OU RAMAL DE ESGOTO SANITÁRIO. AF_08/2022</t>
  </si>
  <si>
    <t>15.1.13</t>
  </si>
  <si>
    <t>TUBO PVC, SERIE NORMAL, ESGOTO PREDIAL, DN 40 MM, FORNECIDO E INSTALADO EM RAMAL DE DESCARGA OU RAMAL DE ESGOTO SANITÁRIO. AF_08/2022</t>
  </si>
  <si>
    <t>15.1.14</t>
  </si>
  <si>
    <t>TUBO PVC, SERIE NORMAL, ESGOTO PREDIAL, DN 50 MM, FORNECIDO E INSTALADO EM RAMAL DE DESCARGA OU RAMAL DE ESGOTO SANITÁRIO. AF_08/2022</t>
  </si>
  <si>
    <t>15.1.15</t>
  </si>
  <si>
    <t>TUBO PVC, SERIE NORMAL, ESGOTO PREDIAL, DN 100 MM, FORNECIDO E INSTALADO EM RAMAL DE DESCARGA OU RAMAL DE ESGOTO SANITÁRIO. AF_08/2022</t>
  </si>
  <si>
    <t>15.1.16</t>
  </si>
  <si>
    <t>COMPOSIÇÃO REPRESENTATIVA) DO SERVIÇO DE INST. TUBO PVC, SÉRIE N, ESGOTO PREDIAL, DN 75 MM, (INST. EM RAMAL DE DESCARGA, RAMAL DE ESG. SANITÁRIO, PRUMADA DE ESG. SANITÁRIO OU VENTILAÇÃO), INCL. CONEXÕES, CORTES E FIXAÇÕES, P/ PRÉDIOS. AF_10/2015</t>
  </si>
  <si>
    <t>15.1.17</t>
  </si>
  <si>
    <t>TE, PVC, SERIE NORMAL, ESGOTO PREDIAL, DN 50 X 50 MM, JUNTA ELÁSTICA, FORNECIDO E INSTALADO EM RAMAL DE DESCARGA OU RAMAL DE ESGOTO SANITÁRIO. AF_08/2022</t>
  </si>
  <si>
    <t>15.1.18</t>
  </si>
  <si>
    <t>COMP HIDR 17</t>
  </si>
  <si>
    <t xml:space="preserve">TE DE REDUÇÃO, PVC, SOLDÁVEL, DN 100MM X 75MM,FORNECIMENTO E INSTALAÇÃO. </t>
  </si>
  <si>
    <t>15.1.19</t>
  </si>
  <si>
    <t>COMP HIDR 20</t>
  </si>
  <si>
    <t>TERMINAL DE VENTILACAO, 50 MM, SERIE NORMAL, ESGOTO PREDIAL</t>
  </si>
  <si>
    <t>15.1.20</t>
  </si>
  <si>
    <t>COMP HIDR 21</t>
  </si>
  <si>
    <t>TERMINAL DE VENTILACAO, 75 MM, SERIE NORMAL, ESGOTO PREDIAL</t>
  </si>
  <si>
    <t>15.1.21</t>
  </si>
  <si>
    <t>COMP HIDR 22</t>
  </si>
  <si>
    <t>CAIXA DE INSPEÇÃO EM PVC, DIAMETRO MINIMO 300 MM,  COM TAMPA</t>
  </si>
  <si>
    <t>15.1.22</t>
  </si>
  <si>
    <t>CAIXA DE GORDURA PEQUENA (CAPACIDADE: 19 L), CIRCULAR, EM PVC, DIÂMETRO INTERNO= 0,3 M. AF_12/2020</t>
  </si>
  <si>
    <t>15.1.23</t>
  </si>
  <si>
    <t>COMP HIDR 18</t>
  </si>
  <si>
    <t>SIFÃO DO TIPO FLEXÍVEL EM PVC  2" -  FORNECIMENTO E INSTALAÇÃO.</t>
  </si>
  <si>
    <t>15.1.24</t>
  </si>
  <si>
    <t>SIFÃO DO TIPO FLEXÍVEL EM PVC 1 X 1.1/2 - FORNECIMENTO E INSTALAÇÃO. AF_01/2020</t>
  </si>
  <si>
    <t>15.1.25</t>
  </si>
  <si>
    <t>COMP HIDR 19</t>
  </si>
  <si>
    <t>BOLSA DE LIGACAO EM PVC FLEXIVEL PARA VASO SANITARIO 1.1/2 " (40 MM)</t>
  </si>
  <si>
    <t>15.1.26</t>
  </si>
  <si>
    <t>VÁLVULA EM PLÁSTICO 1_x0094_" PARA PIA, TANQUE OU LAVATÓRIO, COM OU SEM LADRÃO - FORNECIMENTO E INSTALAÇÃO. AF_01/2020</t>
  </si>
  <si>
    <t>15.2</t>
  </si>
  <si>
    <t>ESGOTAMENTO SANITÁRIO</t>
  </si>
  <si>
    <t>15.2.1</t>
  </si>
  <si>
    <t xml:space="preserve">SUMIDOURO CIRCULAR, EM ALVENARIA COM TIJOLOS CERÂMICOS MACIÇOS, DIMENSÕES INTERNAS: DIAMETRO 2,84 M, ALTURA 3,00 M, ÁREA DE INFILTRAÇÃO: 132,40 M² </t>
  </si>
  <si>
    <t>15.2.1.1</t>
  </si>
  <si>
    <t>ESCAVAÇÃO MANUAL PARA BLOCO DE COROAMENTO OU SAPATA, SEM PREVISÃO DE FÔRMA. AF_06/2017</t>
  </si>
  <si>
    <t>15.2.1.2</t>
  </si>
  <si>
    <t>LASTRO COM MATERIAL GRANULAR (AREIA MÉDIA), APLICADO EM PISOS OU LAJES SOBRE SOLO, ESPESSURA DE *10 CM*. AF_07/2019</t>
  </si>
  <si>
    <t>15.2.1.3</t>
  </si>
  <si>
    <t>ALVENARIA DE VEDAÇÃO DE BLOCOS CERÂMICOS MACIÇOS DE 5X10X20CM (ESPESSURA 10CM) E ARGAMASSA DE ASSENTAMENTO COM PREPARO EM BETONEIRA. AF_05/2020</t>
  </si>
  <si>
    <t>0,88m²(Chaminé)+13,56(Paredes)= 14,44m²</t>
  </si>
  <si>
    <t>15.2.1.4</t>
  </si>
  <si>
    <t>15.2.1.5</t>
  </si>
  <si>
    <t>15.2.1.6</t>
  </si>
  <si>
    <t>15.2.1.7</t>
  </si>
  <si>
    <t>CHAPISCO APLICADO EM ALVENARIA (SEM PRESENÇA DE VÃOS) E ESTRUTURAS DE CONCRETO DE FACHADA, COM COLHER DE PEDREIRO. ARGAMASSA TRAÇO 1:3 COM PREPARO MANUAL. AF_06/2014</t>
  </si>
  <si>
    <t>15.2.1.8</t>
  </si>
  <si>
    <t>FABRICAÇÃO, MONTAGEM E DESMONTAGEM DE FORMA PARA RADIER, PISO DE CONCRETO OU LAJE SOBRE SOLO, EM MADEIRA SERRADA, 4 UTILIZAÇÕES. AF_09/2021</t>
  </si>
  <si>
    <t>15.2.1.9</t>
  </si>
  <si>
    <t>ARMAÇÃO DE LAJE DE ESTRUTURA CONVENCIONAL DE CONCRETO ARMADO UTILIZANDO AÇO CA-60 DE 4,2 MM - MONTAGEM. AF_06/2022</t>
  </si>
  <si>
    <t>15.2.1.10</t>
  </si>
  <si>
    <t>TAMPA CIRCULAR PARA ESGOTO E DRENAGEM, EM CONCRETO PRÉ-MOLDADO, DIÂMETRO INTERNO = 0,60 M E ALTURA = 0,10 M. AF_12/2020</t>
  </si>
  <si>
    <t>15.2.2</t>
  </si>
  <si>
    <t>FOSSA SÉPTICA E FILTRO ANAERÓBIO CONJUGADO EM BLOCO DE CONCRETO</t>
  </si>
  <si>
    <t>15.2.2.1</t>
  </si>
  <si>
    <t>15.2.2.2</t>
  </si>
  <si>
    <t>COMPACTAÇÃO MECÂNICA DE SOLO PARA EXECUÇÃO DE RADIER, PISO DE CONCRETO OU LAJE SOBRE SOLO, COM COMPACTADOR DE SOLOS TIPO PLACA VIBRATÓRIA. AF_09/2021</t>
  </si>
  <si>
    <t>15.2.2.3</t>
  </si>
  <si>
    <t>CAMADA SEPARADORA PARA EXECUÇÃO DE RADIER, PISO DE CONCRETO OU LAJE SOBRE SOLO, EM LONA PLÁSTICA. AF_09/2021</t>
  </si>
  <si>
    <t>15.2.2.4</t>
  </si>
  <si>
    <t>EXECUÇÃO DE RADIER, ESPESSURA DE 15 CM, FCK = 30 MPA, COM USO DE FORMAS EM MADEIRA SERRADA. AF_09/2021</t>
  </si>
  <si>
    <t>15.2.2.5</t>
  </si>
  <si>
    <t>ARMAÇÃO BASE E TAMPA:                                                                                                                37,765 * 2 = 75,53</t>
  </si>
  <si>
    <t>15.2.2.6</t>
  </si>
  <si>
    <t>15.2.2.7</t>
  </si>
  <si>
    <t>15.2.2.8</t>
  </si>
  <si>
    <t>(COMPOSIÇÃO REPRESENTATIVA) DE ALVENARIA DE BLOCOS DE CONCRETO ESTRUTURAL 14X19X39 CM, (ESPESSURA 14 CM), FBK = 4,5 MPA, UTILIZANDO PALHETA, PARA EDIFICAÇÃO HABITACIONAL. AF_10/2015</t>
  </si>
  <si>
    <t>ALVENARIA + CHAMINÉ =                                                                                                                                                      18,08+0,62 =18,70 m²</t>
  </si>
  <si>
    <t>15.2.2.9</t>
  </si>
  <si>
    <t xml:space="preserve">CHAPISCO APLICADO EM ALVENARIA (SEM PRESENÇA DE VÃOS) E ESTRUTURAS DECONCRETO DE FACHADA, COM COLHER DE PEDREIRO.  ARGAMASSA TRAÇO 1:3 COMPREPARO MANUAL. AF_06/2014 </t>
  </si>
  <si>
    <t>15.2.2.10</t>
  </si>
  <si>
    <t>15.2.2.11</t>
  </si>
  <si>
    <t>COMP ETE 01</t>
  </si>
  <si>
    <t>VERGA 10X10 CM EM CONCRETO PRÉ- MOLDADO FCK=20MPA</t>
  </si>
  <si>
    <t>3*1,70m = 5,10m</t>
  </si>
  <si>
    <t>15.2.2.12</t>
  </si>
  <si>
    <t>ENCHIMENTO DE BRITA PARA DRENO, LANÇAMENTO MANUAL. AF_07/2021</t>
  </si>
  <si>
    <t xml:space="preserve">BANCADAS, RODABANCADAS, DIVISÓRIAS E REQUADRO EM GRANITO </t>
  </si>
  <si>
    <t>16.1</t>
  </si>
  <si>
    <t>COMP 28</t>
  </si>
  <si>
    <t>BANCADA EM GRANITO CINZA POLIDO PARA LAVATÓRIOS E PIAS  - FORNECIMENTO E INSTALAÇÃO</t>
  </si>
  <si>
    <t>16.2</t>
  </si>
  <si>
    <t>SUPORTE MÃO FRANCESA EM ACO, ABAS IGUAIS 40 CM, CAPACIDADE MINIMA 70 KG, BRANCO - FORNECIMENTO E INSTALAÇÃO. AF_01/2020</t>
  </si>
  <si>
    <t>16.3</t>
  </si>
  <si>
    <t>COMP 29</t>
  </si>
  <si>
    <t>FRONTÃO OU RODABANCADA EM GRANITO, POLIDO,H= 10 CM, E= *2,0* CM - FORNECIMENTO E INSTALAÇÃO</t>
  </si>
  <si>
    <t>16.4</t>
  </si>
  <si>
    <t>COMP 30</t>
  </si>
  <si>
    <t>BANCADA DE ATENDIMENTO EM CONCRETO, APOIADA EM ALVENARIA</t>
  </si>
  <si>
    <t>16.5</t>
  </si>
  <si>
    <t>DIVISORIA SANITÁRIA, TIPO CABINE, EM GRANITO CINZA POLIDO, ESP = 3CM, ASSENTADO COM ARGAMASSA COLANTE AC III-E, EXCLUSIVE FERRAGENS. AF_01/2021</t>
  </si>
  <si>
    <t>16.6</t>
  </si>
  <si>
    <t>COMP 27</t>
  </si>
  <si>
    <t xml:space="preserve">REQUADRO DE GRANITO BRANCO SIENA PARA A ÁREA DO JARDIM </t>
  </si>
  <si>
    <t>MURETA COM GRADIL</t>
  </si>
  <si>
    <t>17.1</t>
  </si>
  <si>
    <t>VIGAS BALDRAME</t>
  </si>
  <si>
    <t>17.1.1</t>
  </si>
  <si>
    <t>17.1.2</t>
  </si>
  <si>
    <t>17.1.3</t>
  </si>
  <si>
    <t>17.1.4</t>
  </si>
  <si>
    <t>17.1.5</t>
  </si>
  <si>
    <t>17.1.6</t>
  </si>
  <si>
    <t>17.1.7</t>
  </si>
  <si>
    <t>17.1.8</t>
  </si>
  <si>
    <t>IMPERMEABILIZAÇÃO DE FLOREIRA OU VIGA BALDRAME COM ARGAMASSA DE CIMENTO E AREIA, COM ADITIVO IMPERMEABILIZANTE, E = 2 CM. AF_06/2018</t>
  </si>
  <si>
    <t>17.2</t>
  </si>
  <si>
    <t>BLOCOS DE COROAMENTO DE ESTACA DE CONCRETO</t>
  </si>
  <si>
    <t>17.2.1</t>
  </si>
  <si>
    <t>FABRICAÇÃO, MONTAGEM E DESMONTAGEM DE FÔRMA PARA BLOCO DE COROAMENTO,EM MADEIRA SERRADA, E=25 MM, 4 UTILIZAÇÕES. AF_06/2017</t>
  </si>
  <si>
    <t>17.2.2</t>
  </si>
  <si>
    <t>17.2.3</t>
  </si>
  <si>
    <t>17.2.4</t>
  </si>
  <si>
    <t>ARMAÇÃO DE BLOCO, VIGA BALDRAME E SAPATA UTILIZANDO AÇO CA-60 DE 5 MM - MONTAGEM. AF_06/2017</t>
  </si>
  <si>
    <t>17.3</t>
  </si>
  <si>
    <t>ESTACAS DE FUNDAÇÃO</t>
  </si>
  <si>
    <t>17.3.1</t>
  </si>
  <si>
    <t>ESTACA BROCA DE CONCRETO, DIÂMETRO DE 20CM, ESCAVAÇÃO MANUAL COM TRADO CONCHA, COM ARMADURA DE ARRANQUE. AF_05/2020</t>
  </si>
  <si>
    <t>1,40m*44un=61,60m</t>
  </si>
  <si>
    <t>Profundidade da estaca=1,40m</t>
  </si>
  <si>
    <t>17.3.2</t>
  </si>
  <si>
    <t>17.3.3</t>
  </si>
  <si>
    <t>17.3.4</t>
  </si>
  <si>
    <t>MONTAGEM DE ARMADURA TRANSVERSAL DE ESTACAS DE SEÇÃO CIRCULAR, DIÂMETRO = 5,0 MM. AF_09/2021_P</t>
  </si>
  <si>
    <t>17.3.5</t>
  </si>
  <si>
    <t>MONTAGEM DE ARMADURA DE ESTACAS, DIÂMETRO = 10,0 MM. AF_09/2021_P</t>
  </si>
  <si>
    <t>17.4</t>
  </si>
  <si>
    <t>PILARES DA MURETA</t>
  </si>
  <si>
    <t>17.4.1</t>
  </si>
  <si>
    <t>MONTAGEM E DESMONTAGEM DE FÔRMA DE PILARES RETANGULARES E ESTRUTURAS SIMILARES, PÉ-DIREITO SIMPLES, EM CHAPA DE MADEIRA COMPENSADA RESINADA, 8 UTILIZAÇÕES. AF_09/2020</t>
  </si>
  <si>
    <t>17.4.2</t>
  </si>
  <si>
    <t>17.4.3</t>
  </si>
  <si>
    <t>17.4.4</t>
  </si>
  <si>
    <t>ARMAÇÃO DE PILAR OU VIGA DE ESTRUTURA DE CONCRETO ARMADO EMBUTIDA EM ALVENARIA DE VEDAÇÃO UTILIZANDO AÇO CA-60 DE 5,0 MM - MONTAGEM. AF_06/2022</t>
  </si>
  <si>
    <t>17.4.5</t>
  </si>
  <si>
    <t>17.5</t>
  </si>
  <si>
    <t>FECHAMENTO E REVESTIMENTO DA MURETA</t>
  </si>
  <si>
    <t>17.5.1</t>
  </si>
  <si>
    <t xml:space="preserve">MURETA = 110,80 m² </t>
  </si>
  <si>
    <t>17.5.2</t>
  </si>
  <si>
    <t>CHAPISCO APLICADO EM ALVENARIA (SEM PRESENÇA DE VÃOS) E ESTRUTURAS DE CONCRETO DE FACHADA, COM COLHER DE PEDREIRO. ARGAMASSA TRAÇO 1:3 COM PREPARO EM BETONEIRA 400L. AF_06/2014</t>
  </si>
  <si>
    <t>17.5.3</t>
  </si>
  <si>
    <t>EMBOÇO OU MASSA ÚNICA EM ARGAMASSA TRAÇO 1:2:8, PREPARO MECÂNICO COM BETONEIRA 400 L, APLICADA MANUALMENTE EM PANOS CEGOS DE FACHADA (SEM PRESENÇA DE VÃOS), ESPESSURA DE 25 MM. AF_08/2022</t>
  </si>
  <si>
    <t>17.5.4</t>
  </si>
  <si>
    <t>COMP 08</t>
  </si>
  <si>
    <t xml:space="preserve">FORNECIMENTO E INSTALAÇÃO DE GRADIL METÁLICO </t>
  </si>
  <si>
    <t>17.6</t>
  </si>
  <si>
    <t>PINTURA DA MURETA</t>
  </si>
  <si>
    <t>17.6.1</t>
  </si>
  <si>
    <t>17.6.2</t>
  </si>
  <si>
    <t>SERVIÇOS CONSTRUTIVOS COMPLEMENTARES</t>
  </si>
  <si>
    <t>18.1</t>
  </si>
  <si>
    <t>COMP 23</t>
  </si>
  <si>
    <t>ESTRUTURA METÁLICA PARA FIXAÇÃO DE BRISE EM MADEIRA NA FACHADA</t>
  </si>
  <si>
    <t>18.2</t>
  </si>
  <si>
    <t>COMP 24</t>
  </si>
  <si>
    <t>PAINEL EM MADEIRA DE ITAÚBA PARA BRISE EM FACHADA - FORNECIMENTO E INSTALAÇÃO</t>
  </si>
  <si>
    <t>18.3</t>
  </si>
  <si>
    <t>COMP 25</t>
  </si>
  <si>
    <t>CONJUNTO DE LETRAS EM CAIXA EM AÇO INOX BRILHANTE</t>
  </si>
  <si>
    <t>18.4</t>
  </si>
  <si>
    <t>EXECUÇÃO DE PÁTIO/ESTACIONAMENTO EM PISO INTERTRAVADO, COM BLOCO RETANGULAR COR NATURAL  DE 20 X 10 CM, ESPESSURA 8 CM. AF_12/2015</t>
  </si>
  <si>
    <t>18.5</t>
  </si>
  <si>
    <t>EXECUÇÃO DE PASSEIO (CALÇADA) OU PISO DE CONCRETO COM CONCRETO MOLDADO IN LOCO, FEITO EM OBRA, ACABAMENTO CONVENCIONAL, ESPESSURA 8 CM, ARMADO. AF_07/2016</t>
  </si>
  <si>
    <t>18.6</t>
  </si>
  <si>
    <t>GUIA (MEIO-FIO) CONCRETO, MOLDADA IN LOCO EM TRECHO RETO COM EXTRUSORA, 15 CM BASE X 30 CM ALTURA. AF_06/2016</t>
  </si>
  <si>
    <t>18.7</t>
  </si>
  <si>
    <t>COMP 26</t>
  </si>
  <si>
    <t>FORNECIMENTO E ESPALHAMENTO DE TERRA VEGETAL PREPARADA</t>
  </si>
  <si>
    <t>148,54m² * 0,05m = 7,43m³</t>
  </si>
  <si>
    <t>18.8</t>
  </si>
  <si>
    <t>PLANTIO DE GRAMA EM PLACAS. AF_05/2018</t>
  </si>
  <si>
    <t>133,02 + 9,03(ETE) = 142,05m²</t>
  </si>
  <si>
    <t>18.9</t>
  </si>
  <si>
    <t>PLANTIO DE ÁRVORE ORNAMENTAL COM ALTURA DE MUDA MENOR OU IGUAL A 2,00 M. AF_05/2018</t>
  </si>
  <si>
    <t>9+6=15 ( 6 OITIS + 9 IPÊS)</t>
  </si>
  <si>
    <t>18.10</t>
  </si>
  <si>
    <t>PLANTIO DE FORRAÇÃO. AF_05/2018</t>
  </si>
  <si>
    <t>SINGÔNIO - JD INTERNO</t>
  </si>
  <si>
    <t>18.11</t>
  </si>
  <si>
    <t>PISO PODOTÁTIL,DIRECIONAL OU ALERTA,ASSENTADO SOBRE ARGAMASSA.  AF_05/2020</t>
  </si>
  <si>
    <t>907 un * 0,25m/un = 226,75m</t>
  </si>
  <si>
    <t>18.12</t>
  </si>
  <si>
    <t>PINTURA DE SÍMBOLOS E TEXTOS COM TINTA ACRÍLICA, DEMARCAÇÃO COM FITA ADESIVA E APLICAÇÃO COM ROLO. AF_05/2021</t>
  </si>
  <si>
    <t>18.13</t>
  </si>
  <si>
    <t>PINTURA DE DEMARCAÇÃO DE VAGA COM TINTA ACRÍLICA, E = 10 CM, APLICAÇÃO MANUAL. AF_05/2021</t>
  </si>
  <si>
    <t>18.14</t>
  </si>
  <si>
    <t>COMP 33</t>
  </si>
  <si>
    <t>PLACA DE INAUGURAÇÃO - FORNECIMENTO E INSTALAÇÃO</t>
  </si>
  <si>
    <t>LIMPEZA GERAL</t>
  </si>
  <si>
    <t>19.1</t>
  </si>
  <si>
    <t>LIMPEZA DE PISO CERÂMICO OU PORCELANATO COM PANO ÚMIDO. AF_04/2019</t>
  </si>
  <si>
    <t>19.2</t>
  </si>
  <si>
    <t>LIMPEZA DE REVESTIMENTO CERÂMICO EM PAREDE COM PANO ÚMIDO AF_04/2019</t>
  </si>
  <si>
    <t>19.3</t>
  </si>
  <si>
    <t>LIMPEZA DE SUPERFÍCIE COM JATO DE ALTA PRESSÃO. AF_04/2019</t>
  </si>
  <si>
    <t>CALÇADAS INTERNAS(91,55) E EXTERNAS(799,23)</t>
  </si>
  <si>
    <t xml:space="preserve"> </t>
  </si>
  <si>
    <t>Importa o presente orçamento em: R$</t>
  </si>
  <si>
    <t>um milão, setecentos e sesenta e sete mil, cento e sesenta reais e quarenta e seis centavos.</t>
  </si>
  <si>
    <t>GOVERNO DO ESTADO DE MATO GROSSO</t>
  </si>
  <si>
    <t>SINFRA - SECRETARIA DE ESTADO DE INFRAESTRUTURA E LOGÍSTICA</t>
  </si>
  <si>
    <t>SECRETARIA ADJUNTA DE CIDADES</t>
  </si>
  <si>
    <t>DATA:</t>
  </si>
  <si>
    <t>COMPOSIÇÕES UNITÁRIAS DE PREÇO DE ARQUITETURA</t>
  </si>
  <si>
    <t xml:space="preserve">Mão de Obra                   </t>
  </si>
  <si>
    <t xml:space="preserve">Unid           </t>
  </si>
  <si>
    <t xml:space="preserve">Qtde           </t>
  </si>
  <si>
    <t>Custo Unitário</t>
  </si>
  <si>
    <t xml:space="preserve">Custo Total    </t>
  </si>
  <si>
    <t>ENCARREGADO GERAL COM ENCARGOS COMPLEMENTARES</t>
  </si>
  <si>
    <t>h</t>
  </si>
  <si>
    <t>VIGIA NOTURNO COM ENCARGOS COMPLEMENTARES</t>
  </si>
  <si>
    <t>ENGENHEIRO CIVIL DE OBRA JUNIOR COM ENCARGOS COMPLEMENTARES</t>
  </si>
  <si>
    <t>Subtotal:</t>
  </si>
  <si>
    <t>PREÇO DE CUSTO</t>
  </si>
  <si>
    <t xml:space="preserve">MEMÓRIA DE CÁLCULO </t>
  </si>
  <si>
    <t xml:space="preserve">ENGENHEIRO CIVIL  - 15h / semana * 16 semanas = 240 h                                                                                                    ENCARREGADO - 22 dias/mês * 8 h/dia* 4 meses = 704 h                                                                                                                                                              VIGIA NOTURNO - 12h/dia x 30 dias/mês x 4 meses = 1440 h </t>
  </si>
  <si>
    <t>ENCARREGADO = 5dias/semana de 8h + 1sábado de 4h = 22 dias/mês de 8h</t>
  </si>
  <si>
    <t>PLACA DE OBRA EM CHAPA GALVANIZADA</t>
  </si>
  <si>
    <t>Composição de referência para os coeficientes de consumo: 74209/001 - SINAPI - JAN/20</t>
  </si>
  <si>
    <t>CARPINTEIRO DE FORMAS COM ENCARGOS COMPLEMENTARES</t>
  </si>
  <si>
    <t>SERVENTE COM ENCARGOS COMPLEMENTARES</t>
  </si>
  <si>
    <t>Materiais</t>
  </si>
  <si>
    <t>CONCRETO MAGRO PARA LASTRO, TRAÇO 1:4,5:4,5 (CIMENTO/ AREIA MÉDIA/ BRITA 1) - PREPARO MECÂNICO COM BETONEIRA 400 L. AF_07/2016</t>
  </si>
  <si>
    <t>SARRAFO DE MADEIRA NAO APARELHADA *2,5 X 7* CM, MACARANDUBA, ANGELIM OU EQUIVALENTE DA REGIAO</t>
  </si>
  <si>
    <t>PONTALETE DE MADEIRA NAO APARELHADA *7,5 X 7,5* CM (3 X 3 ") PINUS, MISTA OU EQUIVALENTE DA REGIAO</t>
  </si>
  <si>
    <t>PLACA DE OBRA (PARA CONSTRUCAO CIVIL) EM CHAPA GALVANIZADA *N. 22*, ADESIVADA DE *2,0 X 1,125* M</t>
  </si>
  <si>
    <t>PREGO DE ACO POLIDO COM CABECA 18 X 30 (2 3/4 X 10)</t>
  </si>
  <si>
    <t>ENTRADA PROVISORIA DE ENERGIA ELETRICA AEREA TRIFASICA 40A EM POSTE MADEIRA</t>
  </si>
  <si>
    <t>Composição de referência para os coeficientes de consumo: 83878/SINAPI - JAN/20</t>
  </si>
  <si>
    <t>ELETRICISTA COM ENCARGOS COMPLEMENTARES</t>
  </si>
  <si>
    <t xml:space="preserve">FITA ACO INOX PARA CINTAR POSTE, L = 19 MM, E = 0,5 MM (ROLO DE 30M) </t>
  </si>
  <si>
    <t>CINTA CIRCULAR EM ACO GALVANIZADO DE 150 MM DE DIAMETRO PARA FIXACAO DE CAIXA MEDICAO, INCLUI PARAFUSOS E PORCAS</t>
  </si>
  <si>
    <t>CABO DE COBRE NU 16 MM2 MEIO-DURO</t>
  </si>
  <si>
    <t>FIO DE COBRE, SOLIDO, CLASSE 1, ISOLACAO EM PVC/A, ANTICHAMA BWF-B, 450/750V,SECAO NOMINAL 10 MM2</t>
  </si>
  <si>
    <t>CAIXA INTERNA/EXTERNA DE MEDICAO PARA 1 MEDIDOR TRIFASICO, COM VISOR, EM CHAPA DE ACO 18 USG (PADRAO DA CONCESSIONARIA LOCAL)</t>
  </si>
  <si>
    <t>ARMACAO VERTICAL COM HASTE E CONTRA-PINO, EM CHAPA DE ACO GALVANIZADO 3/16",COM 4 ESTRIBOS E 4 ISOLADORES</t>
  </si>
  <si>
    <t xml:space="preserve">CONECTOR METALICO TIPO PARAFUSO FENDIDO (SPLIT BOLT), PARA CABOS ATE 16 MM2 </t>
  </si>
  <si>
    <t>LUVA EM PVC RIGIDO ROSCAVEL, DE 1", PARA ELETRODUTO</t>
  </si>
  <si>
    <t>DISJUNTOR TIPO NEMA, TRIPOLAR 10 ATE 50A, TENSAO MAXIMA DE 415 V</t>
  </si>
  <si>
    <t>ELETRODUTO DE PVC RIGIDO ROSCAVEL DE 1 ", SEM LUVA</t>
  </si>
  <si>
    <t>POSTE ROLICO DE MADEIRA TRATADA, D = 20 A 25 CM, H = 12,00 M, EM EUCALIPTO OU EQUIVALENTE DA REGIAO</t>
  </si>
  <si>
    <t>HASTE DE ATERRAMENTO EM ACO COM 3,00 M DE COMPRIMENTO E DN = 5/8", REVESTIDA COM BAIXA CAMADA DE COBRE, SEM CONECTOR</t>
  </si>
  <si>
    <t>PARAFUSO DE FERRO POLIDO, SEXTAVADO, COM ROSCA PARCIAL, DIAMETRO 5/8",COMPRIMENTO 6", COM PORCA E ARRUELA DE PRESSAO MEDIA</t>
  </si>
  <si>
    <t>ARRUELA REDONDA DE LATAO, DIAMETRO EXTERNO = 34 MM, ESPESSURA = 2,5 MM,DIAMETRO DO FURO = 17 MM</t>
  </si>
  <si>
    <t xml:space="preserve">CURVA 180 GRAUS, DE PVC RIGIDO ROSCAVEL, DE 3/4", PARA ELETRODUTO </t>
  </si>
  <si>
    <t>BUCHA EM ALUMINIO, COM ROSCA, DE 1", PARA ELETRODUTO</t>
  </si>
  <si>
    <t>ARRUELA EM ALUMINIO, COM ROSCA, DE 1", PARA ELETRODUTO</t>
  </si>
  <si>
    <t>P5</t>
  </si>
  <si>
    <t>Composição de referência para os coeficientes de consumo: 1821/ORSE-DEZ/2020</t>
  </si>
  <si>
    <t>PEDREIRO COM ENCARGOS COMPLEMENTARES</t>
  </si>
  <si>
    <t>ARGAMASSA TRAÇO 1:4 (CIMENTO E AREIA MÉDIA), PREPARO MECÂNICO COM BETONEIRA 400 L. AF_08/2014</t>
  </si>
  <si>
    <t>COTAÇÃO</t>
  </si>
  <si>
    <t xml:space="preserve">PORTA EM ALUMÍNIO ANODIZADO DE ABRIR, 2 FOLHAS, PARA VIDRO COM GUARNIÇÃO, 1,30X210CM, FIXAÇÃO COM PARAFUSOS, INCLUSIVE VIDROS - FORNECIMENTO E INSTALAÇÃO. </t>
  </si>
  <si>
    <t>ARGAMASSA -1m² --------- 0,003 m³                                                                                                                                                                                                                                                                                                                             2,73 m² ---------- X m³                                                                                         X  = 0,00819m³</t>
  </si>
  <si>
    <t>1 m² ------- 1,0 h                                 2,73 m² ------- X h                                              X = 2,73 h</t>
  </si>
  <si>
    <t xml:space="preserve">1 m² ------- 1,5 h                                           2,73 m² --------  X h                                                         X =   0,000819    </t>
  </si>
  <si>
    <t>QUADRO DE COTAÇÕES ( un  )</t>
  </si>
  <si>
    <t>DATA DA COTAÇÃO</t>
  </si>
  <si>
    <t>Empresa</t>
  </si>
  <si>
    <t>valor</t>
  </si>
  <si>
    <t>CNPJ</t>
  </si>
  <si>
    <t>CONTATO</t>
  </si>
  <si>
    <t>ALUPORTE - Com Ind de Esquadrias de Alumínio Ltda</t>
  </si>
  <si>
    <t>36.900.033/0001-35</t>
  </si>
  <si>
    <t>FEITOSA                                                          3627-1590</t>
  </si>
  <si>
    <t>ALUMINIA - Esquadrias de Alumínio e PVC</t>
  </si>
  <si>
    <t>04.076.318/0001-07</t>
  </si>
  <si>
    <t>Sara Costa                                                     3052-6179/9.9662-8830</t>
  </si>
  <si>
    <t>MT BRASIL ESQUADRIAS</t>
  </si>
  <si>
    <t>44.947.797/0001-04</t>
  </si>
  <si>
    <t>(65)9.9813-9645</t>
  </si>
  <si>
    <t>MEDIANA</t>
  </si>
  <si>
    <t xml:space="preserve">PORTA EM MADEIRA LISA COMUM(0,80X2,10 M) ENCABEÇADA DE CORRER COM TRILHO DE ALUMÍNIO - FORNECIMENTO E INSTALAÇÃO. </t>
  </si>
  <si>
    <t>Composição de referência para os coeficientes de consumo: Serviço de Terceiro</t>
  </si>
  <si>
    <t>PORTA EM MADEIRA LISA COMUM, ENCABEÇADA DE CORRER COM TRILHO DE ALUMÍNIO - 0,80 X 2,10 M</t>
  </si>
  <si>
    <t>SOMAR - CF MERLIN - ME</t>
  </si>
  <si>
    <t>15.930.198/0001-80</t>
  </si>
  <si>
    <t>KAROLINE ALMEIDA                                                                                                                                    3684-6610</t>
  </si>
  <si>
    <t>283,22 + 561,67 + 164,85 + 132,92 + 130,5 + 65,5/2 = 1305,91</t>
  </si>
  <si>
    <t>PORTAS VIDANY</t>
  </si>
  <si>
    <t>10.355.598/0001-95</t>
  </si>
  <si>
    <t>LÚCIA                                                              (65)9.9945-1197</t>
  </si>
  <si>
    <t>PORTAS PARANÁ</t>
  </si>
  <si>
    <t>33.059.676/0001-00</t>
  </si>
  <si>
    <t>(65)3686-1297</t>
  </si>
  <si>
    <t>BARRA DE APOIO RETA,EM ALUMÍNIO,40 CM-FIXADA COMO SUPORTE EM PORTA DE MADEIRA PARA PCD E EM PAREDE - FORNECIMENTO E INSTALAÇÃO</t>
  </si>
  <si>
    <t>Composição de referência para os coeficientes de consumo:100874/SINAPI - JUN/20</t>
  </si>
  <si>
    <t>ENCANADOR OU BOMBEIRO HIDRÁULICO COM ENCARGOS COMPLEMENTARES</t>
  </si>
  <si>
    <t>BARRA DE APOIO RETA, EM ALUMINIO, COMPRIMENTO 40 CM, DIAMETRO MINIMO 3 CM</t>
  </si>
  <si>
    <t>PARAFUSO NIQUELADO 3 1/2" COM ACABAMENTO CROMADO PARA FIXAR PECA SANITARIA, INCLUI PORCA CEGA, ARRUELA E BUCHA DE NYLON TAMANHO S-8</t>
  </si>
  <si>
    <t>PARA FIXAR EM PORTA MADEIRA P4</t>
  </si>
  <si>
    <t>CASTELLI  LOJA</t>
  </si>
  <si>
    <t>11.000.062/0001-10</t>
  </si>
  <si>
    <t>DIEGO          vendas4@castellimateriais.com.br - ramal 3512</t>
  </si>
  <si>
    <t>GUSMAN CONSTRUÇÃO E ACABAMENTO</t>
  </si>
  <si>
    <t>15.960.776/0001-20</t>
  </si>
  <si>
    <t>Guilherme Novack Silva                                                                (65)3621-3767</t>
  </si>
  <si>
    <t>TODIMO MATERIAIS DE CONSTRUÇÃO</t>
  </si>
  <si>
    <t>15.375.991/0001-64</t>
  </si>
  <si>
    <t>Elaine C Silva Reis                                                                                                                2128-9400</t>
  </si>
  <si>
    <t xml:space="preserve">PORTA DE MADEIRA PARA PINTURA, 100X210CM, ESPESSURA DE 3,5CM. </t>
  </si>
  <si>
    <t>BARRA DE APOIO RETA,EM ALUMÍNIO,40 CM-FIXADA COMO SUPORTE EM PORTA DE MADEIRA PARA PCD</t>
  </si>
  <si>
    <t>427,98+262,35+126+111,40+36,28+331,29+90,73+65,50/2+INST.=</t>
  </si>
  <si>
    <t>FRETE=65,50</t>
  </si>
  <si>
    <t>INSTALAÇ/ ???? $250</t>
  </si>
  <si>
    <t>ADÃO                                                              9.9261-8268</t>
  </si>
  <si>
    <t>480+250+80+150+165+35+350+60+250=1820,00</t>
  </si>
  <si>
    <t>3686-1297</t>
  </si>
  <si>
    <t>Composição de referência para os coeficientes de consumo: 102364/SINAPI-05/2021</t>
  </si>
  <si>
    <t>SERRALHEIRO COM ENCARGOS COMPLEMENTARES</t>
  </si>
  <si>
    <t>GRADIL METÁLICO COM PORTÕES DE ENTADA E DE GARAGEM INSTALADO</t>
  </si>
  <si>
    <t>CONCRETO MAGRO PARA LASTRO, TRAÇO 1:4,5:4,5 (EM MASSA SECA DE CIMENTO/ AREIA MÉDIA/ BRITA 1) - PREPARO MECÂNICO COM BETONEIRA 400 L. AF_05/2021</t>
  </si>
  <si>
    <t>2,50 X 2,03 = 5,075 m²</t>
  </si>
  <si>
    <t xml:space="preserve">5,075 m² ---- R$ 5300,00             1 m²    ----  X                                                                                                      </t>
  </si>
  <si>
    <t>X = R$ 1044,33/m²</t>
  </si>
  <si>
    <t>MANTOVANI Engenharia e Automação</t>
  </si>
  <si>
    <t>17.738.504/0001-06</t>
  </si>
  <si>
    <t>Amanda R Gomes da Silva -                                                                                                                 9.8422-8484</t>
  </si>
  <si>
    <t>MÓDULO 2,50X2,03m</t>
  </si>
  <si>
    <t xml:space="preserve">ALBATROZ SERVICE </t>
  </si>
  <si>
    <t>32.562.917/0001-76</t>
  </si>
  <si>
    <t xml:space="preserve">                                                                     (65) 9.9990-0505</t>
  </si>
  <si>
    <t>SVG Metalúrgica</t>
  </si>
  <si>
    <t>18.979.315/0001-98</t>
  </si>
  <si>
    <t>Armando Sérgio                                                                                                   (65)3682-6168/9.927-4934</t>
  </si>
  <si>
    <t>FORNECIMENTO E INSTALAÇÃO DE PORTÃO DE CORRER DE  1,50 X 2,45 M,EM CHAPA MODELO GRADIL</t>
  </si>
  <si>
    <t>Composição de referência para os coeficientes de consumo: serviços de terceiros</t>
  </si>
  <si>
    <t>PORTÃO DE CORRER DE  1,50 X 2,45 M; EM CHAPA MODELO GRADIL</t>
  </si>
  <si>
    <t>FORNECIMENTO E INSTALAÇÃO DE PORTÃO DE CORRER DE  3,90X2,45 M, COM ACIONAMENTO ELÉTRICO</t>
  </si>
  <si>
    <t>PORTÃO DE CORRER DE  3,90X2,45 M,CHAPA MODELO GRADIL</t>
  </si>
  <si>
    <t>COMP 11</t>
  </si>
  <si>
    <t>FORNECIMENTO E INSTALAÇÃO DE MOTOR PARA ACIONAMENTO ELÉTRICO DE PORTÃO COM DOIS CONTROLES REMOTOS</t>
  </si>
  <si>
    <t xml:space="preserve">FORNECIMENTO E INSTALAÇÃO DE MOTOR PARA ACIONAMENTO ELÉTRICO DE PORTÃO </t>
  </si>
  <si>
    <t>FORNECIMENTO E INSTALAÇÃO MOTOR PARA ACIONAMENTO ELÉTRICO DE PORTÃO COM DOIS CONTROLES REMOTOS</t>
  </si>
  <si>
    <t>RP - SEGURANÇA ELETRÔNICA</t>
  </si>
  <si>
    <t>42.422.594/0001-79</t>
  </si>
  <si>
    <t>Rafael S Porto                                                                         (65) 9.9964-9791</t>
  </si>
  <si>
    <t>JS - SEGURANÇA ELETRÔNICA</t>
  </si>
  <si>
    <t>13.882.751/0001-20</t>
  </si>
  <si>
    <t>Jesse Albano                                                                                      (65)9.8462-8245</t>
  </si>
  <si>
    <t>PREVENÇÃO SEGURANÇA ELETRÔNICA</t>
  </si>
  <si>
    <t>11.121.237/0001-47</t>
  </si>
  <si>
    <t>trinta.shop/segurancaeletronica58.com                                                                                                                                         (65)3044-4804</t>
  </si>
  <si>
    <t>PORTA DE ABRIR DE FERRO EM CHAPA CORRUGADA, COM DUAS FOLHAS, DE 1,60X2,10 M</t>
  </si>
  <si>
    <t>Composição de referência para os coeficientes de consumo: 17 4000100/AGESUL - JAN/21</t>
  </si>
  <si>
    <t>Composição de referência para os coeficientes de consumo: 88650/SINAPI - ABR/21</t>
  </si>
  <si>
    <t>AZULEJISTA OU LADRILHISTA COM ENCARGOS COMPLEMENTARES</t>
  </si>
  <si>
    <t>ARGAMASSA COLANTE AC I PARA CERAMICA</t>
  </si>
  <si>
    <t>REJUNTE CIMENTICIO, QUALQUER COR</t>
  </si>
  <si>
    <t>H= 0,07m -------- 0,188 m²                                                                                 H=0,15m ------- X                                                                                                                      X = 0,4028 m²</t>
  </si>
  <si>
    <t>FORNECIMENTO E INSTALAÇÃO DE BARRA DE APOIO RETA, EM ALUMÍNIO,80 CM-FIXADA NA PAREDE</t>
  </si>
  <si>
    <t>Composição de referência para os coeficientes de consumo:100868/SINAPI - JUN/20</t>
  </si>
  <si>
    <t>BARRA DE APOIO RETA, EM ALUMINIO, COMPRIMENTO 80 CM, DIAMETRO MINIMO 3 CM</t>
  </si>
  <si>
    <t>Composição de referência para os coeficientes de consumo:100867/SINAPI - JUN/20</t>
  </si>
  <si>
    <t>Composição de referência para os coeficientes de consumo:080201/IOPES - 02/2021</t>
  </si>
  <si>
    <t>AJUDANTE DE CARPINTEIRO COM ENCARGOS COMPLEMENTARES</t>
  </si>
  <si>
    <t>CANTONEIRA ALUMINIO ABAS IGUAIS 2 ", E = 1/8 "</t>
  </si>
  <si>
    <t>PARAFUSO DE ACO ZINCADO COM ROSCA SOBERBA, CABECA CHATA E FENDA SIMPLES, DIAMETRO 4,8 MM, COMPRIMENTO 65 MM</t>
  </si>
  <si>
    <t>CHAPA DE MADEIRA COMPENSADA NAVAL (COM COLA FENOLICA), E = 10 MM, DE *1,60 X 2,20* M</t>
  </si>
  <si>
    <t>ESPELHO CRISTAL E = 4 MM</t>
  </si>
  <si>
    <t>Composição de referência para os coeficientes de consumo:100797/SEDOP - 03/2021</t>
  </si>
  <si>
    <t>PAPELEIRA PLASTICA TIPO DISPENSER PARA PAPEL HIGIENICO ROLAO</t>
  </si>
  <si>
    <t>Composição de referência para os coeficientes de consumo:100795/SEDOP - 03/2021</t>
  </si>
  <si>
    <t>TOALHEIRO PLASTICO TIPO DISPENSER PARA PAPEL TOALHA INTERFOLHADO</t>
  </si>
  <si>
    <t>Composição de referência para os coeficientes de consumo:87274/SINAPI - 05/2021</t>
  </si>
  <si>
    <t>REVESTIMENTO EM CERAMICA ESMALTADA EXTRA, PEI MENOR OU IGUAL A 3, FORMATO MENOR OU IGUAL A 2025 CM2</t>
  </si>
  <si>
    <t>ARGAMASSA COLANTE AC I PARA CERAMICAS</t>
  </si>
  <si>
    <t>Composição de referência para os coeficientes de consumo:87275/SINAPI - 05/2021</t>
  </si>
  <si>
    <t>Composição de referência para os coeficientes de consumo:12443/ORSE - 02/2021</t>
  </si>
  <si>
    <t xml:space="preserve">REVESTIMENTO CERÂMICO DE PAREDE  BOLD 6,5X23 CM WESTMINSTER PORTOBELO OU SIMILAR </t>
  </si>
  <si>
    <t>ARGAMASSA COLANTE AC II</t>
  </si>
  <si>
    <t>QUADRO DE COTAÇÕES ( m²  )</t>
  </si>
  <si>
    <t>BEIRA RIO - FERNANDO CORREA</t>
  </si>
  <si>
    <t>20.939.127/0003-40</t>
  </si>
  <si>
    <t>VILA REVESTIMENTOS</t>
  </si>
  <si>
    <t>16.582.200/0001-30</t>
  </si>
  <si>
    <t>Anderson de Arruda Dias                                                    (65)9.9643-6422</t>
  </si>
  <si>
    <t>R$29648,00/109m²= R$272,00/m²</t>
  </si>
  <si>
    <t>RESERVA ACABAMENTOS</t>
  </si>
  <si>
    <t>27.355.436/0001-50</t>
  </si>
  <si>
    <t>Elisangela Maciel                                                                                                             (65)3358-3167</t>
  </si>
  <si>
    <t>un</t>
  </si>
  <si>
    <t>Composição de referência para os coeficientes de consumo: serviço de terceiro</t>
  </si>
  <si>
    <t>albatrzservice1000@gmail.com                                                                     (65) 9.9990-0505</t>
  </si>
  <si>
    <t>6960+6120=13080</t>
  </si>
  <si>
    <t>PAINEL EM MADEIRA DE ITAÚBA PARA BRISE EM 26 M² DE FACHADA - FORNECIMENTO E INSTALAÇÃO</t>
  </si>
  <si>
    <t>Composição de referência para os coeficientes de consumo:</t>
  </si>
  <si>
    <t>PAINEL EM MADEIRA DE ITAÚBA PARA BRISE EM FACHADA</t>
  </si>
  <si>
    <t>QUADRO DE COTAÇÕES - Painel em madeira ( m²  )</t>
  </si>
  <si>
    <t>JM DECKS E PERGOLADOS</t>
  </si>
  <si>
    <t>32.642.470/0001-45</t>
  </si>
  <si>
    <t>Marcos Antonio Brotto Jr                                                           9.9933-3569</t>
  </si>
  <si>
    <t>ARBUSTO MADEIRAS</t>
  </si>
  <si>
    <t>30.000.438/0001-30</t>
  </si>
  <si>
    <t>DANIEL                                                                                                                              3055-0702</t>
  </si>
  <si>
    <t>REI DO PRGOLADO E DECK</t>
  </si>
  <si>
    <t>32.920.523/0001-42</t>
  </si>
  <si>
    <t>WHATSAPP                                             (65)9.9307-4180</t>
  </si>
  <si>
    <t>4 LETRAS DE 40CM</t>
  </si>
  <si>
    <t>40 LETRAS DE 20CM</t>
  </si>
  <si>
    <t>Conjunto de Letras em Caixa,aço inox brilhante, 4 letras tamanho 40 e 40 letras tamanho 20 cm</t>
  </si>
  <si>
    <t>DESENHO E COMUNICAÇÃO VISUAL</t>
  </si>
  <si>
    <t>03.837.148/0001-73</t>
  </si>
  <si>
    <t>Débora Chauvin                                                                               (65) 3631-4227</t>
  </si>
  <si>
    <t>ARIPEL COMUNICAÇÃO VISUAL</t>
  </si>
  <si>
    <t>26.805.802/0001-62</t>
  </si>
  <si>
    <t>FÁBIO                                                                                          (66)3564-1727</t>
  </si>
  <si>
    <t>EMPRESA DE CONFRESA</t>
  </si>
  <si>
    <t>THIAGO ARTES</t>
  </si>
  <si>
    <t>26.900.409/0001-58</t>
  </si>
  <si>
    <t>THIAGO                                                                (66)9.8431-3791</t>
  </si>
  <si>
    <t>Composição de referência para os coeficientes de consumo: 2394/ORSE - 02/2021</t>
  </si>
  <si>
    <t>TERRA VEGETAL</t>
  </si>
  <si>
    <t xml:space="preserve">REQUADRO DE GRANITO SIENA 5X2,5 CM PARA JARDIM INTERNO - FORNECIMENTO E INSTALAÇÃO </t>
  </si>
  <si>
    <t>Composição de referência para os coeficientes de consumo:16.02.050/FDE - 01/2021</t>
  </si>
  <si>
    <t>AREIA MEDIA - POSTO JAZIDA/FORNECEDOR (RETIRADO NA JAZIDA, SEM TRANSPORTE)</t>
  </si>
  <si>
    <t>CAL HIDRATADA CH-I PARA ARGAMASSAS</t>
  </si>
  <si>
    <t>METACAULIM DE ALTA REATIVIDADE/CAULIM CALCINADO</t>
  </si>
  <si>
    <t>CIMENTO PORTLAND DE ALTO FORNO (AF) CP III-40</t>
  </si>
  <si>
    <t>CIMENTO BRANCO</t>
  </si>
  <si>
    <t>GRANITO PARA BANCADA, POLIDO, TIPO ANDORINHA/ QUARTZ/ CASTELO/ CORUMBA OU OUTROS EQUIVALENTES DA REGIAO, E= *2,5* CM</t>
  </si>
  <si>
    <t>BANCADA EM GRANITO CINZA POLIDO P/ LAVATÓRIOS E PIAS -FORNECIMENTO E INSTALAÇÃO</t>
  </si>
  <si>
    <t>Composição de referência para os coeficientes de consumo: 170220/IOPES - 02/2021</t>
  </si>
  <si>
    <t>GRANITO PARA BANCADA, POLIDO, TIPO ANDORINHA/ QUARTZ/ CASTELO/ CORUMBA OU OUTROS EQUIVALENTES DA REGIAO, E=  *2,5* CM</t>
  </si>
  <si>
    <r>
      <rPr>
        <rFont val="Arial"/>
        <sz val="11.0"/>
      </rPr>
      <t>Composição de referência para os coeficientes de consumo:</t>
    </r>
    <r>
      <rPr>
        <rFont val="Arial"/>
        <sz val="10.0"/>
      </rPr>
      <t xml:space="preserve"> BAN-ROD-010/SETOP - JUN/20</t>
    </r>
  </si>
  <si>
    <t>REJUNTE EPOXI BRANCO</t>
  </si>
  <si>
    <t>ARGAMASSA COLANTE TIPO AC III</t>
  </si>
  <si>
    <t>RODAPE OU RODABANCADA EM GRANITO, POLIDO, TIPO ANDORINHA/ QUARTZ/ CASTELO/CORUMBA OU OUTROS EQUIVALENTES DA REGIAO, H= 10 CM, E= *2,0* CM</t>
  </si>
  <si>
    <r>
      <rPr>
        <rFont val="Arial"/>
        <sz val="11.0"/>
      </rPr>
      <t>Composição de referência para os coeficientes de consumo:</t>
    </r>
    <r>
      <rPr>
        <rFont val="Arial"/>
        <sz val="10.0"/>
      </rPr>
      <t xml:space="preserve"> BAN-CON-005/SETOP -04/2021</t>
    </r>
  </si>
  <si>
    <t>CONCRETO FCK = 15MPA, TRAÇO 1:3,4:3,4 (EM MASSA SECA DE CIMENTO/ AREIA MÉDIA/ SEIXO ROLADO) - PREPARO MANUAL. AF_05/2021</t>
  </si>
  <si>
    <t>LANÇAMENTO COM USO DE BALDES, ADENSAMENTO E ACABAMENTO DE CONCRETO EM ESTRUTURAS. AF_02/2022</t>
  </si>
  <si>
    <t>CORTE E DOBRA DE AÇO CA-50, DIÂMETRO DE 10,0 MM. AF_06/2022</t>
  </si>
  <si>
    <t>ARAME GALVANIZADO 18 BWG, D = 1,24MM (0,009 KG/M)</t>
  </si>
  <si>
    <r>
      <rPr>
        <rFont val="Arial"/>
        <sz val="11.0"/>
      </rPr>
      <t>Composição de referência para os coeficientes de consumo:</t>
    </r>
    <r>
      <rPr>
        <rFont val="Arial"/>
        <sz val="10.0"/>
      </rPr>
      <t xml:space="preserve"> 88476/SINAPI - 05/2021</t>
    </r>
  </si>
  <si>
    <t>ADITIVO ADESIVO LIQUIDO PARA ARGAMASSAS DE REVESTIMENTOS CIMENTICIOS</t>
  </si>
  <si>
    <t>L</t>
  </si>
  <si>
    <t>ARGAMASSA USINADA AUTOADENSAVEL E AUTONIVELANTE PARA CONTRAPISO, INCLUI BOMBEAMENTO</t>
  </si>
  <si>
    <t>Composição de referência para os coeficientes de consumo: 94216 /SINAPI - MAR/19</t>
  </si>
  <si>
    <t>TELHADISTA COM ENCARGOS COMPLEMENTARES</t>
  </si>
  <si>
    <t>HASTE RETA PARA GANCHO DE FERRO GALVANIZADO, COM ROSCA 1/4 " X 30 CM PARA FIXACAO DE TELHA METALICA, INCLUI PORCA E ARRUELAS DE VEDACAO</t>
  </si>
  <si>
    <t>cj</t>
  </si>
  <si>
    <t>GUINCHO ELÉTRICO DE COLUNA, CAPACIDADE 400 KG, COM MOTO FREIO, MOTOR TRIFÁSICO DE 1,25 CV - CHP DIURNO. AF_03/2016</t>
  </si>
  <si>
    <t>CHP</t>
  </si>
  <si>
    <t>GUINCHO ELÉTRICO DE COLUNA, CAPACIDADE 400 KG, COM MOTO FREIO, MOTOR TRIFÁSICO DE 1,25 CV - CHI DIURNO. AF_03/2016</t>
  </si>
  <si>
    <t>CHI</t>
  </si>
  <si>
    <t>TELHA ISOLANTE COM NUCLEO EM POLIESTIRENO (EPS), E = 30 MM,REVESTIDA EM ACO ZINCADO *0,5* MM COM PRE-PINTURA NAS DUAS FACES, FACE SUPERIOR EM TELHA TRAPEZOIDAL E FACE INFERIOR EM CHAPA PLANA (NAO INCLUI ACESSORIOS DE FIXACAO)</t>
  </si>
  <si>
    <r>
      <rPr>
        <rFont val="Arial"/>
        <sz val="11.0"/>
      </rPr>
      <t>Composição de referência para os coeficientes de consumo:</t>
    </r>
    <r>
      <rPr>
        <rFont val="Arial"/>
        <sz val="10.0"/>
      </rPr>
      <t xml:space="preserve"> 270805/AGETOP - 01/2022</t>
    </r>
  </si>
  <si>
    <t>PLACA DE INAUGURACAO METALICA, *40* CM X *60* CM</t>
  </si>
  <si>
    <t>BUCHA DE NYLON SEM ABA S6, COM PARAFUSO DE 4,20 X 40 MM EM ACO ZINCADO COM ROSCA SOBERBA, CABECA CHATA E FENDA PHILLIPS</t>
  </si>
  <si>
    <t>COMPOSIÇÕES UNITÁRIAS DE PREÇO DE ELÉTRICA</t>
  </si>
  <si>
    <t>CABEAMENTO</t>
  </si>
  <si>
    <t>Composição de referência para os coeficientes de consumo: 69.03.340/CPOS-JUN/20</t>
  </si>
  <si>
    <t>OK</t>
  </si>
  <si>
    <t>MÃO DE OBRA</t>
  </si>
  <si>
    <t xml:space="preserve">Custo Unitário </t>
  </si>
  <si>
    <t>AUXILIAR DE ELETRICISTA COM ENCARGOS COMPLEMENTARES</t>
  </si>
  <si>
    <t>CONECTOR / TOMADA FEMEA RJ 45, CATEGORIA 6 (CAT 6) PARA CABOS</t>
  </si>
  <si>
    <t>GUIA ORGANIZADOR DE CABO FECHADO HORIZONTAL, 19´ 1 U</t>
  </si>
  <si>
    <t>Composição de referência para os coeficientes de consumo: 66.20.150/CPOS-MAR/21</t>
  </si>
  <si>
    <t>GUIA ORGANIZADOR DE CABOS HORIZONTAL, 19´ 1 U</t>
  </si>
  <si>
    <t>YAKAO - CUIABÁ/MT</t>
  </si>
  <si>
    <t>01.426.365/0001-45</t>
  </si>
  <si>
    <t>YAKAO.COM.BR</t>
  </si>
  <si>
    <t>RACK FORT Soluções em Racks</t>
  </si>
  <si>
    <t>31.690.876/0001-30</t>
  </si>
  <si>
    <t>RACKFORT.COM.BR</t>
  </si>
  <si>
    <t>18,9+21,01=39,91</t>
  </si>
  <si>
    <t>AZ NET TELECOM</t>
  </si>
  <si>
    <t>13.578.459/0001-23</t>
  </si>
  <si>
    <t>AZNETTELCOM.COM.BR</t>
  </si>
  <si>
    <t>41,5+25,88=67,38</t>
  </si>
  <si>
    <t>Composição de referência para os coeficientes de consumo: 8362/ORSE- MAI/20</t>
  </si>
  <si>
    <t>GUIA DE CABOS VERTICAL FECHADO P/ RACK 19"</t>
  </si>
  <si>
    <t>LOJA ELÉTRICA</t>
  </si>
  <si>
    <t>17.155.342/0010-74</t>
  </si>
  <si>
    <t>LOJAELETRICA.COM.BR</t>
  </si>
  <si>
    <t>135,85+22,66=158,51</t>
  </si>
  <si>
    <t>PONTO DIGITAL INFORMÁTICA</t>
  </si>
  <si>
    <t>11.162.692/0001-90</t>
  </si>
  <si>
    <t>PONTODIGITALINFO.COM.BR</t>
  </si>
  <si>
    <t>49,90+20,77=70,67</t>
  </si>
  <si>
    <t>UPPER SEG</t>
  </si>
  <si>
    <t>17.354.683/0001-88</t>
  </si>
  <si>
    <t>upperseg.com.br</t>
  </si>
  <si>
    <t>28,41+24,42=52,83</t>
  </si>
  <si>
    <t>UNICASERV</t>
  </si>
  <si>
    <t>unicaserv.com.br</t>
  </si>
  <si>
    <t>25,9+20,48=46,38</t>
  </si>
  <si>
    <t>CPC</t>
  </si>
  <si>
    <t>27.335.649/0001-10</t>
  </si>
  <si>
    <t>cabospatcord.com.br</t>
  </si>
  <si>
    <t>28+40,71=68,71</t>
  </si>
  <si>
    <t>Composição de referência para os coeficientes de consumo: CAB-RACK-010/SETOP- JUN/20</t>
  </si>
  <si>
    <t>Switch (10/100)BaseTX + (1000)Base T (24 + 2) portas</t>
  </si>
  <si>
    <t>2048,11+56,20=2104,31</t>
  </si>
  <si>
    <t>REDE DISTRIBUIDORA</t>
  </si>
  <si>
    <t>10.878.552/0001-03</t>
  </si>
  <si>
    <t>LOJASREDEDISTRIBUIDORA.COM.BR</t>
  </si>
  <si>
    <t>Composição de referência para os coeficientes de consumo: 40.20.330/CPOS- JUN/20</t>
  </si>
  <si>
    <t>ELETRORASTRO</t>
  </si>
  <si>
    <t>ELETRORASTRO.COM.BR</t>
  </si>
  <si>
    <t>37,14+23,7=60,84</t>
  </si>
  <si>
    <t>ELÉTRICA SERPAL</t>
  </si>
  <si>
    <t>03.938.818/0001-48</t>
  </si>
  <si>
    <t>eletricaserpal.com.br</t>
  </si>
  <si>
    <t>14,02+28,65/2=28,34</t>
  </si>
  <si>
    <t>26+(17,66/3)=31,88</t>
  </si>
  <si>
    <t>85.014.793/0001-50</t>
  </si>
  <si>
    <t>eletrrastro.com.br</t>
  </si>
  <si>
    <t>(24,03+68,28)/3=30,77</t>
  </si>
  <si>
    <t>CASA E OFICINA</t>
  </si>
  <si>
    <t>10.694.290/0001-74</t>
  </si>
  <si>
    <t>casaeoficina.com.br</t>
  </si>
  <si>
    <t>29,87+34,10/3=41,23</t>
  </si>
  <si>
    <t>Composição de referência para os coeficientes de consumo: 09.13.030/FDE-JUN/20</t>
  </si>
  <si>
    <t>LOJAS REDE DISTRIBUIDORA</t>
  </si>
  <si>
    <t>10.878.552/0001-50</t>
  </si>
  <si>
    <t>lojasrededistribuidora</t>
  </si>
  <si>
    <t>UPPER SEG - T.T. DOS SANTOS LTDA</t>
  </si>
  <si>
    <t>940,41(RACK) E 116,15(FRETE)</t>
  </si>
  <si>
    <t>Composição de referência para os coeficientes de consumo: 11417/ORSE-02/2021</t>
  </si>
  <si>
    <t>BANDEJA DESLIZANTE PERFURADA P/ RACK ABERTO</t>
  </si>
  <si>
    <t>BUCHA DE NYLON S-10</t>
  </si>
  <si>
    <t>KIT PÉS NIVELADORES  P/ RACK ABERTO 19"</t>
  </si>
  <si>
    <t>ANEL ORGANIZADOR DE CABOS EM ESPIRAL</t>
  </si>
  <si>
    <t>QUADRO DE COTAÇÕES - BANDEJA ( un  )</t>
  </si>
  <si>
    <t>89,23+17,60=106,83</t>
  </si>
  <si>
    <t xml:space="preserve">UPPER SEG </t>
  </si>
  <si>
    <t>17354.683/0001-88</t>
  </si>
  <si>
    <t>82,56+28,23=110,79</t>
  </si>
  <si>
    <t>QUADRO DE COTAÇÕES - ANEL ORGANIZADOR DE CABOS EM ESPIRAL (m  )</t>
  </si>
  <si>
    <t>(29,47+17,60)/2=23,53</t>
  </si>
  <si>
    <t>KALUNGA</t>
  </si>
  <si>
    <t>43.283.811/0001-50</t>
  </si>
  <si>
    <t>KALUNGA.COM.BR</t>
  </si>
  <si>
    <t>10,40/2=5,20</t>
  </si>
  <si>
    <t>QUADRO DE COTAÇÕES - KIT PÉS NIVELADORES  P/ RACK ABERTO 19" (cj )</t>
  </si>
  <si>
    <t>FERRAGENS FLORESTA</t>
  </si>
  <si>
    <t>21.009.346/0001-20</t>
  </si>
  <si>
    <t>FERAGENSFLORESTA.COM.BR</t>
  </si>
  <si>
    <t>25,77+20,28=46,05</t>
  </si>
  <si>
    <t>MAXXITACOS</t>
  </si>
  <si>
    <t>28.527.204/0001-02</t>
  </si>
  <si>
    <t>MAXXITACOS.COM.BR</t>
  </si>
  <si>
    <t>69,90+25,99=95,89</t>
  </si>
  <si>
    <t>MARCENEIRO EXPRESSO</t>
  </si>
  <si>
    <t>24.974.585/0001-09</t>
  </si>
  <si>
    <t>MARCENEIROEXPRESSO.COM.BR</t>
  </si>
  <si>
    <t>33,24+23,06=56,30</t>
  </si>
  <si>
    <t>CONECTOR PLUGUE 110 IDC - 4 PARES</t>
  </si>
  <si>
    <t>Composição de referência para os coeficientes de consumo: 40.20.240/CPOS-JUN/20</t>
  </si>
  <si>
    <t>CONECTOR 110 IDC -CAT 5E - 4 PARES</t>
  </si>
  <si>
    <t>LOJA ELÉTRICA LTDA</t>
  </si>
  <si>
    <t>www.lojaeletrica.com.br</t>
  </si>
  <si>
    <t>206,81 E 21,82 FRETE</t>
  </si>
  <si>
    <t>ELETROINFO CIA</t>
  </si>
  <si>
    <t>16.605.464/0001-61</t>
  </si>
  <si>
    <t>ELETROINFOCIA.COM.BR</t>
  </si>
  <si>
    <t>74,48 e 16,82 (FRETE)</t>
  </si>
  <si>
    <t>DIMENSIONAL</t>
  </si>
  <si>
    <t>06.913.480/0015-63</t>
  </si>
  <si>
    <t>DIMENSIONAL.COM.BR</t>
  </si>
  <si>
    <t>13,91 E 19,33 (FRETE)</t>
  </si>
  <si>
    <t xml:space="preserve">BRAÇADEIRA TIPO CUNHA </t>
  </si>
  <si>
    <t>Composição de referência para os coeficientes de consumo: 171411/SEDOP-04/2020</t>
  </si>
  <si>
    <t>ABRACADEIRA EM ACO PARA AMARRACAO DE ELETRODUTOS, TIPO D, COM 3/4" E CUNHA DE FIXACAO</t>
  </si>
  <si>
    <t>FIXAÇÃO UTILIZANDO PARAFUSO E BUCHA DE NYLON, SOMENTE MÃO DE OBRA. AF_10/2016</t>
  </si>
  <si>
    <t>Composição de referência para os coeficientes de consumo: 83447/SINAPI-JUN/16</t>
  </si>
  <si>
    <t xml:space="preserve">ACO CA-60, 4,2 MM, OU 5,0 MM, OU 6,0 MM, OU 7,0 MM, VERGALHAO </t>
  </si>
  <si>
    <t>AREIA GROSSA - POSTO JAZIDA/FORNECEDOR (RETIRADO NA JAZIDA, SEM TRANSPORTE)</t>
  </si>
  <si>
    <t>CHAPA DE MADEIRA COMPENSADA RESINADA PARA FORMA DE CONCRETO, DE *2,2 X 1,1* M. E = 17 MM</t>
  </si>
  <si>
    <t>CIMENTO PORTLAND COMPOSTO CP II-32</t>
  </si>
  <si>
    <t>PEDRA BRITADA N. 2 (19 A 38 MM) POSTO PEDREIRA/FORNECEDOR, SEM FRETE</t>
  </si>
  <si>
    <t>PEDRA BRITADA N. 3 (38 A 50 MM) POSTO PEDREIRA/FORNECEDOR, SEM FRETE</t>
  </si>
  <si>
    <t>TIJOLO CERAMICO MACICO *5 X 10 X 20* CM</t>
  </si>
  <si>
    <t>Composição de referência para os coeficientes de consumo: 100556/SINAPI-MAI/21</t>
  </si>
  <si>
    <t>CAIXA DE PASSAGEM METALICA DE SOBREPOR COM TAMPA PARAFUSADA, DIMENSOES 20 X 20 X 10 CM</t>
  </si>
  <si>
    <t>CAIXA DE PASSAGEM METALICA DE SOBREPOR COM TAMPA PARAFUSADA, DIMENSOES 40 X 40 X 15 CM</t>
  </si>
  <si>
    <t>KADRI INFORMÁTICA</t>
  </si>
  <si>
    <t>01.030.685/0001-81</t>
  </si>
  <si>
    <t>KADRIINFORMATICA.COM.BR</t>
  </si>
  <si>
    <t>YAKAO</t>
  </si>
  <si>
    <t>Composição de referência para os coeficientes de consumo: 9051/ORSE-02/2021</t>
  </si>
  <si>
    <t>CAIXA DE EQUIPOTENCIALIZAÇÃO EM AÇO 200X200X90XMM,PARA EMBUTIR COM TAMPA,COM 5 TERMINAIS</t>
  </si>
  <si>
    <t xml:space="preserve">PARATEC </t>
  </si>
  <si>
    <t>36.134.420/0001-08</t>
  </si>
  <si>
    <t>vendas@paratec.com.br</t>
  </si>
  <si>
    <t>lojaeletrica.com.br</t>
  </si>
  <si>
    <t>491,5+22,68=514,18</t>
  </si>
  <si>
    <t>MULTISEG</t>
  </si>
  <si>
    <t>10.498.309/0001-84</t>
  </si>
  <si>
    <t>multiseg.com.br</t>
  </si>
  <si>
    <t>406,96+33,47=440,43</t>
  </si>
  <si>
    <t>COMP ELE 19</t>
  </si>
  <si>
    <t>Composição de referência para os coeficientes de consumo: 42.01.086/CPOS-03/2021</t>
  </si>
  <si>
    <t>CAPTOR TIPO TERMINAL AÉREO, H=600MM, EM ALUMÍNIO.</t>
  </si>
  <si>
    <t>MULTISEG EQUIPAMENTOS DE SEGURANÇA</t>
  </si>
  <si>
    <t>10.498.304/0001-84</t>
  </si>
  <si>
    <t>ZIG FERRAMENTAS</t>
  </si>
  <si>
    <t>20.634.386/0001-09</t>
  </si>
  <si>
    <t>zigferramentas.com.br</t>
  </si>
  <si>
    <t>26,6+157,86/28=32,24</t>
  </si>
  <si>
    <t>SANTIL - Materiais Elétricos</t>
  </si>
  <si>
    <t>49.474.698/0008-63</t>
  </si>
  <si>
    <t>santil.com.br</t>
  </si>
  <si>
    <t>(491,96+48,54)/28=19,30</t>
  </si>
  <si>
    <t>BAIXA TENSÃO</t>
  </si>
  <si>
    <r>
      <rPr>
        <rFont val="Arial"/>
        <sz val="11.0"/>
      </rPr>
      <t>Composição de referência para os coeficientes de consumo:</t>
    </r>
    <r>
      <rPr>
        <rFont val="Arial"/>
        <sz val="10.0"/>
      </rPr>
      <t xml:space="preserve"> 3840/ORSE- JUN/20</t>
    </r>
  </si>
  <si>
    <t>CAIXA DE DERIVACAO PARA MEDIDOR DE ENERGIA, COM BARRAMENTO POLIFASICO, EM POLICARBONATO / TERMOPLASTICO - MODULO (PADRAO CONCESSIONARIA LOCAL)</t>
  </si>
  <si>
    <t>HASTE DE ATERRAMENTO EM ACO COM 3,00 M DE COMPRIMENTO E DN = 5/8", REVESTIDA COM BAIXA CAMADA DE COBRE, COM CONECTOR TIPO GRAMPO</t>
  </si>
  <si>
    <t>Composição de referência para os coeficientes de consumo: 9969/ORSE-MAI/20</t>
  </si>
  <si>
    <t>56.545.742/0007-42</t>
  </si>
  <si>
    <t>dimensional.com.br</t>
  </si>
  <si>
    <t>229,99+68,06=298,05</t>
  </si>
  <si>
    <t>SANTIL</t>
  </si>
  <si>
    <t>49.474.398/0004-30</t>
  </si>
  <si>
    <t>299,33+21,82=321,15</t>
  </si>
  <si>
    <t>ANHANGUERA FERRAMENTAS</t>
  </si>
  <si>
    <t>00.565.813/0001-29</t>
  </si>
  <si>
    <t>anhangueraferramentas</t>
  </si>
  <si>
    <t>341,8+25,97=367,77</t>
  </si>
  <si>
    <t>Composição de referência para os coeficientes de consumo: ELE-PLA-065/SETOP-JUN/20</t>
  </si>
  <si>
    <t>5,32+15,28/8=7,23</t>
  </si>
  <si>
    <t>yakao.com.br</t>
  </si>
  <si>
    <t>eletrorastro.com.br</t>
  </si>
  <si>
    <t>(106,32+53,96)/8=20,03</t>
  </si>
  <si>
    <t>CAIXA DE PASSAGEM METÁLICA PINTADA DE SOBREPOR 300X300X120 MM - FORNECIMENTO E INSTALAÇÃO</t>
  </si>
  <si>
    <t>CAIXA DE PASSAGEM METALICA DE SOBREPOR COM TAMPA PARAFUSADA, DIMENSOES 30 X 30 X 12 CM</t>
  </si>
  <si>
    <t>DISJUNTOR TERMOMAGNETICO TRIPOLAR 100 A-40KA, FORNECIMENTO E INSTALACAO</t>
  </si>
  <si>
    <t>Composição de referência para os coeficientes de consumo: 74130/005-Sinapi JUN/20</t>
  </si>
  <si>
    <t xml:space="preserve">DISJUNTOR TERMOMAGNETICO TRIPOLAR DIN 100A ,40 KA </t>
  </si>
  <si>
    <t>ELETROTRAFO</t>
  </si>
  <si>
    <t>80.224.785/0001-15</t>
  </si>
  <si>
    <t>eletrotrafo.com.br</t>
  </si>
  <si>
    <t>284,04+37,6=321,64</t>
  </si>
  <si>
    <t>SERPAL</t>
  </si>
  <si>
    <t>271,23+20,53=291,76</t>
  </si>
  <si>
    <t>229,98+25,77=255,75</t>
  </si>
  <si>
    <t>DISPOSITIVO DE PROTEÇÃO CONTRA SURTO (DPS) 175V - 8 KA - FORNECIMENTO E INSTALAÇÃO</t>
  </si>
  <si>
    <t>Composição de referência para os coeficientes de consumo: 8894/ORSE-MAI/20</t>
  </si>
  <si>
    <t>DISPOSITIVO DPS CLASSE II, 1 POLO, TENSAO MAXIMA DE 175 V, CORRENTE MAXIMA DE *20* KA (TIPO AC)</t>
  </si>
  <si>
    <t>DISJUNTOR TERMOMAGNETICO TRIPOLAR 90 A-10KA, FORNECIMENTO E INSTALACAO</t>
  </si>
  <si>
    <t xml:space="preserve">DISJUNTOR TERMOMAGNETICO TRIPOLAR DIN 90A ,10 KA </t>
  </si>
  <si>
    <t>294,55+16,56=311,11</t>
  </si>
  <si>
    <t>394,99+73,74=468,73</t>
  </si>
  <si>
    <t>AGROMETAL</t>
  </si>
  <si>
    <t>48.539.548/0001-30</t>
  </si>
  <si>
    <t>lojaaagrometal.com.br</t>
  </si>
  <si>
    <t>103,4+21,5=124,90</t>
  </si>
  <si>
    <t>ABRAÇADEIRA METÁLICA TIPO "D",  COM 3/4" E  UNHA DE FIXAÇÃO</t>
  </si>
  <si>
    <t>ABRACADEIRA EM ACO PARA AMARRACAO DE ELETRODUTOS, TIPO D, COM 3/4" E UNHA DE FIXACAO</t>
  </si>
  <si>
    <t>(91,63+28,65)/119=1,01</t>
  </si>
  <si>
    <t>3,39+67,77/119=3,95</t>
  </si>
  <si>
    <t>Composição de referência para os coeficientes de consumo: 90951/SIURB-JUN/20</t>
  </si>
  <si>
    <t>LAMPADA LED TUBULAR BIVOLT 18/20 W, BASE G13</t>
  </si>
  <si>
    <t xml:space="preserve">SOQUETE DE PVC / TERMOPLASTICO BASE E27, COM CHAVE, PARA LAMPADAS </t>
  </si>
  <si>
    <t xml:space="preserve">LUMINÁRIA TIPO CALHA, DE EMBUTIR, PARA 4 LÂMPADAS TUBULARES LED DE 20 W </t>
  </si>
  <si>
    <t>268,32+352,04/23=283,62</t>
  </si>
  <si>
    <t>COMBINADO</t>
  </si>
  <si>
    <t>45.618.763/0001-39</t>
  </si>
  <si>
    <t>combinado.com.br</t>
  </si>
  <si>
    <t>158,38+274,89/23=170,33</t>
  </si>
  <si>
    <t>INSPIRE HOME ILUMINAÇÃO</t>
  </si>
  <si>
    <t>24.335.485/0001-32</t>
  </si>
  <si>
    <t>inspirehome.com.br</t>
  </si>
  <si>
    <t>200,15+146,88/23=206,53</t>
  </si>
  <si>
    <t>Composição de referência para os coeficientes de consumo: 10200/ORSE-02/2021</t>
  </si>
  <si>
    <t>BUCHA DE NYLON SEM ABA S10, COM PARAFUSO DE 6,10 X 65 MM EM ACO ZINCADO COM ROSCA SOBERBA, CABECA CHATA E FENDA PHILLIPS</t>
  </si>
  <si>
    <t>LUMINARIA LED REFLETOR RETANGULAR BIVOLT, LUZ BRANCA, 50 W - FIXADA COM PARAFUSO DE METAL</t>
  </si>
  <si>
    <t>LUMINARIA LED REFLETOR RETANGULAR BIVOLT, LUZ BRANCA, 10 W</t>
  </si>
  <si>
    <t>Composição de referência para os coeficientes de consumo: 101632SINAPI-05/2021</t>
  </si>
  <si>
    <t>FITA ISOLANTE ADESIVA ANTICHAMA, USO ATE 750 V, EM ROLO DE 19 MM X 5 M</t>
  </si>
  <si>
    <t>BASE PARA RELE COM SUPORTE METALICO</t>
  </si>
  <si>
    <t>RELÉ FOTOELÉTRICO P/ COMANDO DE ILUMINAÇÃO EXTERNA 1200W</t>
  </si>
  <si>
    <t>(96,29+25,58)/4=30,46</t>
  </si>
  <si>
    <t>ELÉTRICA SERPAL LTDA</t>
  </si>
  <si>
    <t>(133,8+19,15)/4=38,23</t>
  </si>
  <si>
    <t>DIMENSIONAL BRASIL SOLUÇÕES LTDA</t>
  </si>
  <si>
    <t>32,99+65,89/4=49,46</t>
  </si>
  <si>
    <t>TAMPA CEGA PARA CONDULETE METÁLICO</t>
  </si>
  <si>
    <t>Composição de referência para os coeficientes de consumo: 072395/AGETOP CIVIL - 11/2020</t>
  </si>
  <si>
    <t xml:space="preserve">TAMPA CEGA PARA CONDULETE </t>
  </si>
  <si>
    <t>Composição de referência para os coeficientes de consumo:067127/SBC - 04/2018</t>
  </si>
  <si>
    <t>ELETROTÉCNICO COM ENCARGOS COMPLEMENTARES</t>
  </si>
  <si>
    <t>CENTRAL TELEFÔNICA PABX 50/300</t>
  </si>
  <si>
    <t>OPUS SECURITY</t>
  </si>
  <si>
    <t>32.332.080/0001-79</t>
  </si>
  <si>
    <t>OPUSSECURITY.COM.BR</t>
  </si>
  <si>
    <t>664,93+24,03=688,96</t>
  </si>
  <si>
    <t>CABO DE REDE FTP 5E (24 AWG)</t>
  </si>
  <si>
    <t>Composição de referência para os coeficientes de consumo: 12336/ORSE-02/2021</t>
  </si>
  <si>
    <t>CABO DE REDE BLINDADO FTP 5E 24 AWG</t>
  </si>
  <si>
    <t>QUADRO DE COTAÇÕES ( m  )</t>
  </si>
  <si>
    <t>kalunga.com.br</t>
  </si>
  <si>
    <t>54,6/10m=5,46</t>
  </si>
  <si>
    <t>(86,98+28,23)/84m=1,37</t>
  </si>
  <si>
    <t>(230,16+37,21)/84m=3,18</t>
  </si>
  <si>
    <t>CONDULETE EM PVC, TIPO "C", SEM TAMPA, DE 3/4"</t>
  </si>
  <si>
    <t>CONDULETE EM PVC, TIPO "LL", SEM TAMPA, DE 1/2" OU 3/4"</t>
  </si>
  <si>
    <t>CONDULETE EM PVC, TIPO "LR", SEM TAMPA, DE 3/4"</t>
  </si>
  <si>
    <t>CONDULETE EM PVC, TIPO "LR", SEM TAMPA, DE 1"</t>
  </si>
  <si>
    <t>CONDULETE EM PVC, TIPO "T", SEM TAMPA, DE 1"</t>
  </si>
  <si>
    <t>COMPOSIÇÕES UNITÁRIAS DE PREÇO - ESTRUTURA</t>
  </si>
  <si>
    <t>Composição de referência para os coeficientes de consumo: 74202/001-CPOS 09.02.100-MAR/2021</t>
  </si>
  <si>
    <t>SARRAFO *2,5 X 7,5* CM EM PINUS, MISTA OU EQUIVALENTE DA REGIAO - BRUTA</t>
  </si>
  <si>
    <t>TABUA NAO APARELHADA *2,5 X 30* CM, EM MACARANDUBA, ANGELIM OU EQUIVALENTE DA REGIAO - BRUTA</t>
  </si>
  <si>
    <t>CHAPA DE MADEIRA COMPENSADA PLASTIFICADA PARA FORMA DE CONCRETO, DE 2,20 x 1,10 M, E = 10 MM</t>
  </si>
  <si>
    <t>PREGO DE ACO POLIDO COM CABECA 18 X 27 (2 1/2 X 10)</t>
  </si>
  <si>
    <t>DESMOLDANTE PROTETOR PARA FORMAS DE MADEIRA, DE BASE OLEOSA EMULSIONADA EM AGUA</t>
  </si>
  <si>
    <t>Composição de referência para os coeficientes de consumo: 40.16.01/SUDECAP-FEV/2021</t>
  </si>
  <si>
    <t>Composição de referência para os coeficientes de consumo: 6106220/SICRO-OUT/2020</t>
  </si>
  <si>
    <t>AJUDANTE DE ARMADOR COM ENCARGOS COMPLEMENTARES</t>
  </si>
  <si>
    <t>ARMADOR COM ENCARGOS COMPLEMENTARES</t>
  </si>
  <si>
    <t>CORTE E DOBRA DE AÇO CA-60, DIÂMETRO DE 5,0 MM. AF_06/2022</t>
  </si>
  <si>
    <t>Equipamentos</t>
  </si>
  <si>
    <t>GUINDASTE HIDRÁULICO AUTOPROPELIDO, COM LANÇA TELESCÓPICA 40 M, CAPACIDADE MÁXIMA 60 T, POTÊNCIA 260 KW - CHP DIURNO. AF_03/2016</t>
  </si>
  <si>
    <t>TEMPO FIXO</t>
  </si>
  <si>
    <t>TRANSPORTE HORIZONTAL MANUAL, DE VERGALHÕES DE AÇO COM DIÂMETRO DE 10 MM; 12,5 MM; 16 MM; 20 MM; 25 MM OU 32 MM (UNIDADE: KGXKM). AF_07/2019</t>
  </si>
  <si>
    <t>KgxKm</t>
  </si>
  <si>
    <t>0,00105/Kg * 10Km =  0,0105 KgxKm</t>
  </si>
  <si>
    <t>TRANSPORTE HORIZONTAL MANUAL, DE VERGALHÕES DE AÇO COM DIÂMETRO DE 5 MM (UNIDADE: KGXKM). AF_07/2019</t>
  </si>
  <si>
    <t>0,00002 Kg x 10Km = 0,0002 Kg xKm</t>
  </si>
  <si>
    <t>Composição de referência para os coeficientes de consumo: 74202/001-SINAPI-JAN/2020</t>
  </si>
  <si>
    <t>CONCRETO FCK = 25MPA, TRAÇO 1:2,3:2,7 (CIMENTO/ AREIA MÉDIA/ BRITA 1)- PREPARO MECÂNICO COM BETONEIRA 400 L. AF_07/2016</t>
  </si>
  <si>
    <t>LAJE PRE-MOLDADA TRELICADA (LAJOTAS + VIGOTAS) PARA FORRO, UNIDIRECIONAL, SOBRECARGA DE 100 KG/M2, VAO ATE 6,00 M (SEM COLOCACAO)</t>
  </si>
  <si>
    <t>PONTALETE *7,5 X 7,5* CM EM PINUS, MISTA OU EQUIVALENTE DA REGIAO - BRUTA</t>
  </si>
  <si>
    <r>
      <rPr>
        <rFont val="Arial"/>
        <b/>
        <sz val="10.0"/>
      </rPr>
      <t xml:space="preserve">JUSTIFICATIVA: </t>
    </r>
    <r>
      <rPr>
        <rFont val="Arial"/>
        <sz val="9.0"/>
      </rPr>
      <t>FOI RETIRADO DA COMPOSIÇAO UNITÁTIA O AÇO EM VERGALHÃO E USADA NA PLANILHA A ARMAÇÃO DE LAJE  COM OS QUANTITATIVOS DE PROJETO</t>
    </r>
  </si>
  <si>
    <t>FORNECIMENTO DE ESTRUTURA METÁLICA PARA COBERTURA EM PERFIS DE AÇO ASTM A36, INCLUSIVE PINTURA ANTICORROSIVA (ZARCÃO)</t>
  </si>
  <si>
    <t>KG</t>
  </si>
  <si>
    <t>Composição de referência para os coeficientes de consumo: 15505 - SIURB - SÃO PAULO - SP - 01/2021</t>
  </si>
  <si>
    <t>H</t>
  </si>
  <si>
    <t>AUXILIAR DE SERRALHEIRO COM ENCARGOS COMPLEMENTARES</t>
  </si>
  <si>
    <t>PINTOR COM ENCARGOS COMPLEMENTARES</t>
  </si>
  <si>
    <t>AJUDANTE DE PINTOR COM ENCARGOS COMPLEMENTARES</t>
  </si>
  <si>
    <t>AJUDANTE DE ESTRUTURA METÁLICA COM ENCARGOS COMPLEMENTARES</t>
  </si>
  <si>
    <t>SOLDADOR COM ENCARGOS COMPLEMENTARES</t>
  </si>
  <si>
    <t/>
  </si>
  <si>
    <t>MATERIAIS</t>
  </si>
  <si>
    <t>INVERSOR DE SOLDA MONOFÁSICO DE 160 A, POTÊNCIA DE 5400 W, TENSÃO DE 220 V, PARA SOLDA COM ELETRODOS DE 2,0 A 4,0 MM E PROCESSO TIG - CHP DIURNO. AF_06/2018</t>
  </si>
  <si>
    <t>INVERSOR DE SOLDA MONOFÁSICO DE 160 A, POTÊNCIA DE 5400 W, TENSÃO DE 220 V, PARA SOLDA COM ELETRODOS DE 2,0 A 4,0 MM E PROCESSO TIG - CHI DIURNO. AF_06/2018</t>
  </si>
  <si>
    <t>PERFIL "U" ENRIJECIDO DE ACO GALVANIZADO, DOBRADO, 150 X 60 X 20 MM, E = 3,00 MM OU 200 X 75 X 25 MM, E = 3,75 MM</t>
  </si>
  <si>
    <t xml:space="preserve">KG    </t>
  </si>
  <si>
    <t>BARRA DE FERRO CHATA, RETANGULAR (QUALQUER BITOLA)</t>
  </si>
  <si>
    <t>FUNDO ANTICORROSIVO PARA METAIS FERROSOS (ZARCAO)</t>
  </si>
  <si>
    <t xml:space="preserve">L     </t>
  </si>
  <si>
    <t>ELETRODO REVESTIDO AWS - E7018, DIAMETRO IGUAL A 4,00 MM</t>
  </si>
  <si>
    <t>DILUENTE  AGUARRAS</t>
  </si>
  <si>
    <t>Composição de referência para os coeficientes de consumo: 15512 - SIURB - SÃO PAULO - SP - 01/2021</t>
  </si>
  <si>
    <t>MONTADOR DE ESTRUTURA METÁLICA COM ENCARGOS COMPLEMENTARES</t>
  </si>
  <si>
    <t>GUINDASTE HIDRÁULICO AUTOPROPELIDO, COM LANÇA TELESCÓPICA 28,80 M, CAPACIDADE MÁXIMA 30 T, POTÊNCIA 97 KW, TRAÇÃO 4 X 4 - CHP DIURNO. AF_11/2014</t>
  </si>
  <si>
    <t xml:space="preserve">UN </t>
  </si>
  <si>
    <t>Composição de referência para os coeficientes de consumo: 16.45.002 - FDE - SÃO PAULO - SP - 01/2021</t>
  </si>
  <si>
    <t>TOTAL</t>
  </si>
  <si>
    <t xml:space="preserve">PARAFUSO DE ACO TIPO CHUMBADOR PARABOLT, WALSYWA CBPL 14300 1/4" </t>
  </si>
  <si>
    <t>DATA</t>
  </si>
  <si>
    <t>NOME CONTATO</t>
  </si>
  <si>
    <t>WALSYWA -</t>
  </si>
  <si>
    <t>05.896.435/0001-80</t>
  </si>
  <si>
    <t>Thais P Aleixo Santos                                                                                                  (11)5912-1000</t>
  </si>
  <si>
    <t xml:space="preserve">V. Unitário 1,193 + (Frete) 71,8/200 = 1,55 </t>
  </si>
  <si>
    <t xml:space="preserve">30,02 Kg de Chumbadores = 200 un </t>
  </si>
  <si>
    <t>A COTAÇÃO FOI FEITA DIRETAMENTE COM O FABRICANTE, POIS AS EMPRESAS DO MERCADO LOCAL NÃO POSSUEM O CHUMBADOR ESPECIFICADO NO PROJETO</t>
  </si>
  <si>
    <t>10 mm</t>
  </si>
  <si>
    <t>COMPOSIÇÕES UNITÁRIAS DE PREÇO DE HIDROSSANITÁRIA</t>
  </si>
  <si>
    <t xml:space="preserve">JOELHO 90 GRAUS, PVC SOLDÁVEL - ÁGUA FRIA, DN 50MM,FORNECIMENTO E INSTALAÇÃO. </t>
  </si>
  <si>
    <t>Composição de referência para os coeficientes de consumo: 89501/ SINAPI - 05/2021</t>
  </si>
  <si>
    <t>AUXILIAR DE ENCANADOR OU BOMBEIRO HIDRÁULICO COM ENCARGOS COMPLEMENTARES</t>
  </si>
  <si>
    <t>ADESIVO PLASTICO PARA PVC, FRASCO COM 850 GR</t>
  </si>
  <si>
    <t>JOELHO PVC, SOLDAVEL, 90 GRAUS, 50 MM, PARA AGUA FRIA PREDIAL</t>
  </si>
  <si>
    <t>SOLUCAO LIMPADORA PARA PVC, FRASCO COM 1000 CM3</t>
  </si>
  <si>
    <t>LIXA D'AGUA EM FOLHA, GRAO 100</t>
  </si>
  <si>
    <t>88248</t>
  </si>
  <si>
    <t>88267</t>
  </si>
  <si>
    <t>122</t>
  </si>
  <si>
    <t>20083</t>
  </si>
  <si>
    <t>LIXA EM FOLHA PARA PAREDE OU MADEIRA, NUMERO 120 (COR VERMELHA)</t>
  </si>
  <si>
    <t>JOELHO PVC, SOLDAVEL, 90 GRAUS, 75 MM, PARA AGUA FRIA PREDIAL</t>
  </si>
  <si>
    <t>Composição de referência para os coeficientes de consumo: 12868/ORSE - 02/2021</t>
  </si>
  <si>
    <t>COLAR TOMADA PVC, COM TRAVAS, SAIDA COM ROSCA, DE 75 MM X 1/2" OU 75 MM X 3/4", PARA LIGACAO PREDIAL DE AGUA</t>
  </si>
  <si>
    <t>FITA VEDA ROSCA EM ROLOS DE 18 MM X 50 M (L X C)</t>
  </si>
  <si>
    <t>LUVA DE REDUCAO ROSCAVEL, PVC, 1" X 3/4", PARA AGUA FRIA PREDIAL</t>
  </si>
  <si>
    <t>Composição de referência para os coeficientes de consumo: 89449 / SINAPI - SET/19</t>
  </si>
  <si>
    <t xml:space="preserve">TUBO, PVC, SOLDÁVEL, DN 75MM, FORNECIMENTO E INSTALAÇÃO. </t>
  </si>
  <si>
    <t>Composição de referência para os coeficientes de consumo: 89596/ SINAPI - SET/19</t>
  </si>
  <si>
    <t>ADAPTADOR PVC SOLDAVEL CURTO COM BOLSA E ROSCA, 50 MM X1 1/2", PARA AGUA FRIA</t>
  </si>
  <si>
    <t>Composição de referência para os coeficientes de consumo: 89546/ SINAPI - 05/2021</t>
  </si>
  <si>
    <t>ANEL BORRACHA, DN 50 MM, PARA TUBO SERIE REFORCADA ESGOTO PREDIAL</t>
  </si>
  <si>
    <t>PASTA LUBRIFICANTE PARA TUBOS E CONEXOES COM JUNTA ELASTICA (USO EM PVC, ACO, POLIETILENO E OUTROS) ( DE *400* G)</t>
  </si>
  <si>
    <t>BUCHA DE REDUCAO DE PVC, SOLDAVEL, LONGA, COM 50 X 25 MM, PARA AGUA FRIA PREDIAL</t>
  </si>
  <si>
    <t>COMP HIDR 08</t>
  </si>
  <si>
    <t>Composição de referência para os coeficientes de consumo: 89630/SINAPI - 05/2021</t>
  </si>
  <si>
    <t>TE DE REDUCAO, PVC, SOLDAVEL, 90 GRAUS, 50 MM X 25 MM, PARA AGUA FRIA PREDIAL</t>
  </si>
  <si>
    <t xml:space="preserve">TE, PVC, SOLDÁVEL, DN 50MM, FORNECIMENTO E INSTALAÇÃO. </t>
  </si>
  <si>
    <t>Composição de referência para os coeficientes de consumo: 89630/ SINAPI - SET/19</t>
  </si>
  <si>
    <t>TE SOLDAVEL, PVC, 90 GRAUS,50 MM, PARA AGUA FRIA PREDIAL (NBR 5648)</t>
  </si>
  <si>
    <t>Composição de referência para os coeficientes de consumo: 44.03.670/CPOS - 03/2021</t>
  </si>
  <si>
    <t>CAIXA DE DESCARGA PLASTICA DE EMBUTIR COMPLETA, COM ESPELHO PLASTICO, CAPACIDADE 6 A 10 L, ACESSORIOS INCLUSOS</t>
  </si>
  <si>
    <t>COMP HIDR 11</t>
  </si>
  <si>
    <t>Composição de referência para os coeficientes de consumo: 1572/ORSE - 02/2021</t>
  </si>
  <si>
    <t>CONJUNTO DE LIGACAO PARA BACIA SANITARIA AJUSTAVEL, EM PLASTICO BRANCO, COM TUBO, CANOPLA E ESPUDE</t>
  </si>
  <si>
    <t>COMP HIDR 12</t>
  </si>
  <si>
    <t>Composição de referência para os coeficientes de consumo: 44.03.360/CPOS - 03/2021</t>
  </si>
  <si>
    <t>MANGUEIRA CRISTAL, LISA, PVC TRANSPARENTE, 3/4" X 2 MM</t>
  </si>
  <si>
    <t>ESGOTO</t>
  </si>
  <si>
    <t>Composição de referência para os coeficientes de consumo: 89707/ SINAPI - 05/2021</t>
  </si>
  <si>
    <t>ANEL BORRACHA PARA TUBO ESGOTO PREDIAL DN 50 MM (NBR 5688)</t>
  </si>
  <si>
    <t>CAIXA SIFONADA PVC, 150 X 150 X 50 MM, COM GRELHA QUADRADA BRANCA (NBR 5688)</t>
  </si>
  <si>
    <t>PASTA LUBRIFICANTE PARA TUBOS E CONEXOES COM JUNTA ELASTICA (USO EM PVC, ACO,POLIETILENO E OUTROS) ( DE *400* G)</t>
  </si>
  <si>
    <t>Composição de referência para os coeficientes de consumo: 081361/AGETOP CIVIL - 11/2020</t>
  </si>
  <si>
    <t>JOELHO PVC, 90 GRAUS, DN 100 X 50 MM, SERIE NORMAL, PARA ESGOTO PREDIAL</t>
  </si>
  <si>
    <t>ANEL BORRACHA PARA TUBO ESGOTO PREDIAL, DN 100 MM (NBR 5688)</t>
  </si>
  <si>
    <t>JUNCAO DE REDUCAO INVERTIDA, PVC SOLDAVEL, 100 X 50 MM, SERIE NORMAL PARA ESGOTO PREDIAL</t>
  </si>
  <si>
    <t>TÊ DE REDUÇÃO 90 GRAUS, RÍGIDO, SOLDÁVEL,MARROM, DN 100X75 MM</t>
  </si>
  <si>
    <t>Composição de referência para os coeficientes de consumo: 1188/ORSE - 02/2021</t>
  </si>
  <si>
    <t>TE SANITARIO, PVC, DN 100 X 75 MM, SERIE NORMAL PARA ESGOTO PREDIAL</t>
  </si>
  <si>
    <t>SIFÃO EM PVC DE 2"</t>
  </si>
  <si>
    <t>Composição de referência para os coeficientes de consumo: 142106/IOPES -02/2021</t>
  </si>
  <si>
    <t>SIFAO PLASTICO EXTENSIVEL UNIVERSAL, TIPO COPO</t>
  </si>
  <si>
    <t>Composição de referência para os coeficientes de consumo: 89451/ SINAPI - SET/19</t>
  </si>
  <si>
    <t>Composição de referência para os coeficientes de consumo: 1594/ORSE - 02/2021</t>
  </si>
  <si>
    <t>Composição de referência para os coeficientes de consumo: 4718/ORSE - 02/2021</t>
  </si>
  <si>
    <t>COMP HIDR 23</t>
  </si>
  <si>
    <t>Composição de referência para os coeficientes de consumo: 48.02.204/CPOS - 02/2022</t>
  </si>
  <si>
    <t>CAIXA D'AGUA FIBRA DE VIDRO PARA 2000 LITROS, COM TAMPA</t>
  </si>
  <si>
    <t>COMPOSIÇÕES UNITÁRIAS DE PREÇO DE ESGOTAMENTO SANITÁRIO</t>
  </si>
  <si>
    <t>Composição de referência para os coeficientes de consumo: 74200/001-SINAPI - 02/2016</t>
  </si>
  <si>
    <t>CONCRETO FCK = 20MPA, TRAÇO 1:2,6:2,9 (EM MASSA SECA DE CIMENTO/ AREIA MÉDIA/ SEIXO ROLADO) - PREPARO MECÂNICO COM BETONEIRA 400 L. AF_05/2021</t>
  </si>
  <si>
    <t>ARMAÇÃO DE FUNDAÇÕES E ESTRUTURAS DE CONCRETO ARMADO, EXCETO VIGAS, PILARES E LAJES (DE EDIFÍCIOS DE MÚLTIPLOS PAVIMENTOS, EDIFICAÇÃO TÉRREA OU SOBRADO), UTILIZANDO AÇO CA-60 DE 5.0 MM - MONTAGEM. AF_12/2015</t>
  </si>
  <si>
    <t>PREGO DE ACO POLIDO COM CABECA 17 X 27 (2 1/2 X 11)</t>
  </si>
  <si>
    <t>TABUA MADEIRA 2A QUALIDADE 2,5 X 30,0CM (1 X 12") NAO APARELHADA</t>
  </si>
  <si>
    <t xml:space="preserve">         Data:  ____ / ____ / _____.</t>
  </si>
  <si>
    <t xml:space="preserve"> Kátia F.  Kalix de Oliveira                                                                                                          Engenheira Civil                                                                                    CREA: 120.887.985-5                       </t>
  </si>
  <si>
    <t>Composição da Parcela de BDI (Bonificações e Despesas Indiretas) SEM DESONERAÇÃO - Obras e Serviços</t>
  </si>
  <si>
    <t>Referência</t>
  </si>
  <si>
    <t>Itens relativos à Administração da Obra</t>
  </si>
  <si>
    <t>AC - Administração Central</t>
  </si>
  <si>
    <t>DF - Custos Financeiros</t>
  </si>
  <si>
    <t>C - Riscos</t>
  </si>
  <si>
    <t>S - Seguros e Garantias</t>
  </si>
  <si>
    <t>Sub-total</t>
  </si>
  <si>
    <t>Lucro</t>
  </si>
  <si>
    <t>L - Lucro/Remuneração</t>
  </si>
  <si>
    <t>I - Taxas e Impostos</t>
  </si>
  <si>
    <t>PIS</t>
  </si>
  <si>
    <t>COFINS</t>
  </si>
  <si>
    <t>ISSQN</t>
  </si>
  <si>
    <t>BDI=</t>
  </si>
  <si>
    <t>Conforme a LEI COMPLEMENTAR Nº 84/12012 - Art 32 de 20/12/2012 (Código tributário) do município  de CONFRESA - MT,  a alíquota do ISSQN é de 5% sobre 40%, deduzindo da base de cálculo 60% dos materiais que estão sujeitos a incidência do ICMS.</t>
  </si>
  <si>
    <t>SECRETARIA DE ESTADO DE INFRAESTRUTURA E LOGÍSTICA</t>
  </si>
  <si>
    <t>OBRA</t>
  </si>
  <si>
    <t>CONSTRUÇÃO DAS SEDES DAS DIRETORIAS DE UNIDADE DESCONCENTRADA DA SEMA</t>
  </si>
  <si>
    <t>ENDEREÇO</t>
  </si>
  <si>
    <t>RUA ERICHIN ESQUINA COM RUA CIRCULAR. BAIRRO RESIDENCIAL ARCO IRIS</t>
  </si>
  <si>
    <t>MUNICÍPIO</t>
  </si>
  <si>
    <t>CONFRESA-MT</t>
  </si>
  <si>
    <t>OUT/2020</t>
  </si>
  <si>
    <t>ASSUNTO</t>
  </si>
  <si>
    <t>MEMORIAL DE CÁLCULO - QUANTITATIVOS DOS SERVIÇOS DE ARQUITETURA</t>
  </si>
  <si>
    <t>1.0</t>
  </si>
  <si>
    <t>SERVIÇOS PRELIMINARES</t>
  </si>
  <si>
    <t>1.2</t>
  </si>
  <si>
    <t>PLACA DE OBRA EM CHAPA DE AÇO GALVANIZADO</t>
  </si>
  <si>
    <t>Critérios para quantificação dos serviços:</t>
  </si>
  <si>
    <t>Área efetiva da placa</t>
  </si>
  <si>
    <t>ÁREA (M²)</t>
  </si>
  <si>
    <t>CONSIDERAÇÕES</t>
  </si>
  <si>
    <t>Para obra com valor até quatrocentos e cinquenta mil reais o tamanho é de 2,5m x 1,25m; para obra com valor acima de quatrocentos e cinquenta mil reais o tamanho é 5,0 x 2,5m</t>
  </si>
  <si>
    <t>1.3</t>
  </si>
  <si>
    <t>TAPUME DE TELHA METÁLICA ALTURA 2,00M</t>
  </si>
  <si>
    <t>De acordo com Projeto de Implantação de cada unidade</t>
  </si>
  <si>
    <t>PERÍMETRO (M)</t>
  </si>
  <si>
    <t>PERÍMETRO TOTAL (M)</t>
  </si>
  <si>
    <t>ALTURA</t>
  </si>
  <si>
    <t>ÁREA(M²)</t>
  </si>
  <si>
    <t>69,39+82,84+45,25</t>
  </si>
  <si>
    <t>Limites do terreno</t>
  </si>
  <si>
    <t>1.4</t>
  </si>
  <si>
    <t>EXECUÇÃO DE DEPÓSITO EM CANTEIRO DE OBRA (ESCRITÓRIO, REFEITÓRIO E SANITÁRIO) EM CHAPA DE MADEIRA COMPENSADA, NÃO INCLUSO MOBILIÁRIO</t>
  </si>
  <si>
    <t>DESCRIÇÃO</t>
  </si>
  <si>
    <t>DIMENSÕES (M)</t>
  </si>
  <si>
    <t>ESCRITÓRIO</t>
  </si>
  <si>
    <t>(4,25X3,20)</t>
  </si>
  <si>
    <t>As dimensões dos abrigos podem sofrer variação na obra, mas deve-se manter a área final.</t>
  </si>
  <si>
    <t>SANITÁRIOS</t>
  </si>
  <si>
    <t>(3,00X3,00)</t>
  </si>
  <si>
    <t>ALMOXARIFADO</t>
  </si>
  <si>
    <t>(5,00X5,50)</t>
  </si>
  <si>
    <t>REFEITÓRIO</t>
  </si>
  <si>
    <t>(4,25X5,50)</t>
  </si>
  <si>
    <t>1.5</t>
  </si>
  <si>
    <t>LIGAÇÃO PROVISÓRIA DE ÁGUA E ESGOTO</t>
  </si>
  <si>
    <t>O pedido de ligação fica à cargo da Contratada</t>
  </si>
  <si>
    <t>1.6</t>
  </si>
  <si>
    <t>LIGAÇÃO PROVISÓRIA DE LUZ E FORÇA</t>
  </si>
  <si>
    <t>1.7</t>
  </si>
  <si>
    <t>LIMPEZA DO TERRENO</t>
  </si>
  <si>
    <t>Área efetivamente utilizada</t>
  </si>
  <si>
    <t>1.8</t>
  </si>
  <si>
    <t>CARGA MANUAL DE ENTULHO EM CAÇAMBA BOTA FORA DE 6,00M³</t>
  </si>
  <si>
    <t>Volume gerado pela limpeza do terreno</t>
  </si>
  <si>
    <t>2.0</t>
  </si>
  <si>
    <t>PORTÕES</t>
  </si>
  <si>
    <t>PORTÃO DE CORRER DE UMA FOLHA - ELÉTRICO</t>
  </si>
  <si>
    <t>Área total da esquadria em metro quadrado</t>
  </si>
  <si>
    <t xml:space="preserve">LARGURA </t>
  </si>
  <si>
    <t>Área (m²)</t>
  </si>
  <si>
    <t>QUANTIDADE</t>
  </si>
  <si>
    <t>TOTAL (M²)</t>
  </si>
  <si>
    <t>TOTAL GERAL</t>
  </si>
  <si>
    <t>PORTÃO DE CORRER DUAS FOLHAS - ELÉTRICO</t>
  </si>
  <si>
    <t>3.0</t>
  </si>
  <si>
    <t>CALÇADA EM CONCRETO MOLDADO IN LOCO ESPESSURA 7CM E RAMPA</t>
  </si>
  <si>
    <t>Conforme Projeto de cada Unidade</t>
  </si>
  <si>
    <t>ÁREA</t>
  </si>
  <si>
    <t>Calçadas no entorno do terreno, Acesso de pedestre e Apoio Técnico</t>
  </si>
  <si>
    <t>799,23+13,70+77,85</t>
  </si>
  <si>
    <t>Espessura de 7cm</t>
  </si>
  <si>
    <t>MEIO FIO  DE CONCRETO MOLDADO "IN LOCO" - TRECHO RETO</t>
  </si>
  <si>
    <t>PERÍMETRO</t>
  </si>
  <si>
    <t>TOTAL (M)</t>
  </si>
  <si>
    <t>Calçadas  no entorno do terreno, Acesso de pedestre e Apoio Técnico</t>
  </si>
  <si>
    <t>77,35+43,13+74,39</t>
  </si>
  <si>
    <t>FORNECIMENTO E ESPALHAMENTO DE TERRA VEGETAL, ESPESSURA 5CM</t>
  </si>
  <si>
    <t>ÁREA TOTAL</t>
  </si>
  <si>
    <t>Pátio Externo + Jardim Interno</t>
  </si>
  <si>
    <t>34,36+98,66+15,52</t>
  </si>
  <si>
    <t>Quantitativos retirados do Projeto Arquitetônico</t>
  </si>
  <si>
    <t>3.4</t>
  </si>
  <si>
    <t>FORNECIMENTO DE GRAMA ESMERALDA</t>
  </si>
  <si>
    <t>Pátio Externo</t>
  </si>
  <si>
    <t>34,36+98,66</t>
  </si>
  <si>
    <t>3.5</t>
  </si>
  <si>
    <t>FORNECIMENTO E PLANTIO DE FORROÇÃO (SINGÔNIO) - JARDIM INTERNO</t>
  </si>
  <si>
    <t>Pátio Interno</t>
  </si>
  <si>
    <t>3.6</t>
  </si>
  <si>
    <t>FORNECIMENTO E PLANTIO DE ÁRVORE ORNAMENTAL - IPE</t>
  </si>
  <si>
    <t>UNIDADES (TOTAL)</t>
  </si>
  <si>
    <t>Pátio externo + Patio Interno</t>
  </si>
  <si>
    <t>3.7</t>
  </si>
  <si>
    <t>FORNECIMENTO E PLANTIO DE ÁRVORE ORNAMENTAL - OITI</t>
  </si>
  <si>
    <t>3.8</t>
  </si>
  <si>
    <t>MURETA DE ALVENARIA PARA RECEBIMENTO DE GRADIL - ALTURA 40CM</t>
  </si>
  <si>
    <t>PERIM. TOTAL</t>
  </si>
  <si>
    <t>DESC. DE VÃOS</t>
  </si>
  <si>
    <t>45,25+82,67+69,02</t>
  </si>
  <si>
    <t>3.9</t>
  </si>
  <si>
    <t>CHAPISCO TRAÇO 1:3 - MURETA</t>
  </si>
  <si>
    <t>(45,25+82,67+69,02)X2</t>
  </si>
  <si>
    <t>(45,25+82,67+69,02)</t>
  </si>
  <si>
    <t>3.10</t>
  </si>
  <si>
    <t>EMBOÇO TRAÇO 1:4 - MURETA</t>
  </si>
  <si>
    <t>3.11</t>
  </si>
  <si>
    <t>REBOCO TRAÇO 1:2:8 - MURETA</t>
  </si>
  <si>
    <t>3.12</t>
  </si>
  <si>
    <t>SELADOR ACRÍLICO 01 DEMÃO - MURETA</t>
  </si>
  <si>
    <t>TEXTURA ACRÍLICA - MURETA</t>
  </si>
  <si>
    <t>3.14</t>
  </si>
  <si>
    <t xml:space="preserve">FECHAMENTO EM GRADIL EM AÇO GALAVANIZADO PRÉ PINTADO </t>
  </si>
  <si>
    <t>3.15</t>
  </si>
  <si>
    <t>PISO INTERTRAVADO RETANGULAR - ESPESSURA 8CM</t>
  </si>
  <si>
    <t>ESTACIONAMENTO</t>
  </si>
  <si>
    <t>3.16</t>
  </si>
  <si>
    <t>DEMARCAÇÃO DE PISO (SÍMBOLO CADEIRANTE)</t>
  </si>
  <si>
    <t xml:space="preserve">ÁREA </t>
  </si>
  <si>
    <t>Consta no Projeto Arquitetônico duas vagas para PNE</t>
  </si>
  <si>
    <t>3.17</t>
  </si>
  <si>
    <t>DEMARCAÇÃO DE PISO (PINTURA ESTACIONAMENTO)</t>
  </si>
  <si>
    <t xml:space="preserve">PERÍMETRO </t>
  </si>
  <si>
    <t>19,41+11,40+((6*2)+(5*12))+((0,31+1,20+(1,41X6)+0,70)X2+((4,05*11))</t>
  </si>
  <si>
    <t>3.18</t>
  </si>
  <si>
    <t>FORNECIMENTO E INSTALAÇÃO DE PISO TÁTIL DIRECIONAL E DE ALERTA. DIMENSÕES 25CM X 25CM</t>
  </si>
  <si>
    <t>20.14</t>
  </si>
  <si>
    <t>Quantidade determinada em Projeto Arquitetônico</t>
  </si>
  <si>
    <t>UNIDADES</t>
  </si>
  <si>
    <t>ÁREAL TOTAL</t>
  </si>
  <si>
    <t>PISO TÁTIL DIRECIONAL</t>
  </si>
  <si>
    <t>Piso de concreto 25x25cm</t>
  </si>
  <si>
    <t>PISO TÁTIL ALERTA</t>
  </si>
  <si>
    <t>3.19</t>
  </si>
  <si>
    <t>LETRA CAIXA</t>
  </si>
  <si>
    <t>ALTURA (CM)</t>
  </si>
  <si>
    <t>SEMA</t>
  </si>
  <si>
    <t xml:space="preserve"> DIRETORIA DE UNIDADE DESCONCENTRADA CONFRESA</t>
  </si>
  <si>
    <t xml:space="preserve"> Andreia Aragão                                                                                                                                                                                                                                                                                                                                                                                                                                                                                                                                                                                                                                                                                                                                                                                                                                                                                                                                                                                                                                                                                                                                                                                                                                                                                                                                                                                                                                                                                                                                                                                                                                                                                                                                                                                                                                                                                                                                                                                                                                                                                                                                                                                                                                                                                                                                                                                                                                                                                                                                                                                                                                                                                                                                                                                                                                                                                                                                                                                                                                                                                                                                                                                                                                                                                                                                                                                                                                                                                                                                                                                                                                                                                                                                                                                                                                                                                                                                                                                                                                                                                                                                                                                                                                                                                                                                                                                                                                                                                                                                                                                                                                                                                                                                                                                                                                                                                                                                                                                                                                                                                                                                                                                                                                                                         Arquiteta                                                                                                                                                                                                                                                                                                                                                                                                                                                                                                                                                                                                                                                                                                                                                                                                                                                                                                                                                                                                                                                                                                                                                                                             CAU: 79405-8                   </t>
  </si>
  <si>
    <t>LEVANTAMENTO QUANTITATIVO DA SEMA DUDS CONFRESA - R01</t>
  </si>
  <si>
    <t>ITENS GERAIS</t>
  </si>
  <si>
    <t>UND</t>
  </si>
  <si>
    <t>ESCAVAÇÃO  DO TUBULÃO</t>
  </si>
  <si>
    <t>M3</t>
  </si>
  <si>
    <t>ESCAVAÇÃO  DAS VIGAS BALDRAMES (CONSIDERADO VOLUME DE CONCRETO DAS BALDRAMES, DIVIDIDO PELA LARGURA DAS VIGAS (15 CM) E MULTIPLICADO PELA LARGURA DA VALA (55 CM))</t>
  </si>
  <si>
    <t>REATERRO DO TUBULÃO</t>
  </si>
  <si>
    <t xml:space="preserve">REATERRO DAS VIGAS BALDRAMES (ESCAVAÇÃO DAS BALDRAMES - VOLUME DE CONCRETO DAS BALDRAMES) </t>
  </si>
  <si>
    <t>BOTAFORA MATERIAL  (CONSIDERADO 40% DE EMPOLAMENTO)</t>
  </si>
  <si>
    <t>APILOAMENTO DE FUNDO DOS TUBULÃO</t>
  </si>
  <si>
    <t>M2</t>
  </si>
  <si>
    <t>APILOAMENTO DE FUNDO DAS VIGAS BALDRAMES (CONSIDERADO ÁREA ESCAVADA - (VOLUME DE ESCAVAÇÃO DIVIDIDO PELA ALTURA DAS VIGAS) + LASTRO DE BRITA</t>
  </si>
  <si>
    <t>IMPERMEABILIZAÇÃO (CONSIDERADO FACE LATERAL E TOPO DAS VIGAS BALDRAMES)</t>
  </si>
  <si>
    <t>FORMA PARA FUNDAÇÃO</t>
  </si>
  <si>
    <t>VOLUME DE CONCRETO FCK=25MPA</t>
  </si>
  <si>
    <t>LANÇAMENTO DE CONCRETO</t>
  </si>
  <si>
    <t>AÇO CA60 - 5mm</t>
  </si>
  <si>
    <t>AÇO CA50 - 10mm</t>
  </si>
  <si>
    <t>AÇO CA50 - 12.5mm</t>
  </si>
  <si>
    <t>AÇO CA50 - 16mm</t>
  </si>
  <si>
    <t>FORMA</t>
  </si>
  <si>
    <t>AÇO CA50 - 8mm</t>
  </si>
  <si>
    <t>LAJES TRELIÇADAS</t>
  </si>
  <si>
    <t>AÇO CA60 - 5.0mm</t>
  </si>
  <si>
    <t>AÇO CA50 - 6.3mm</t>
  </si>
  <si>
    <t>VIGA DE RESPALDO</t>
  </si>
  <si>
    <t>AÇO CA50 - 20mm</t>
  </si>
  <si>
    <t>VIGA DE PLATIBANDA</t>
  </si>
  <si>
    <t>ESTRUTURA METÁLICA P/ FACHADA</t>
  </si>
  <si>
    <t>ESTRUTURA METÁLICA  - AÇO ASTM A36, ELETRODO E70XX</t>
  </si>
  <si>
    <t>PINTURA P/ EST. METÁLICA (PINTURA COM ESMALTE SINTÉTICO)</t>
  </si>
  <si>
    <t>AÇO CA50 - 10mm (CHUMBADORES DA PLACA BASE)</t>
  </si>
  <si>
    <t>PLACA BASE - AÇO ASTM A36</t>
  </si>
  <si>
    <t xml:space="preserve">Pedro Miguel Araújo do Santo                                                                                                                                                                                                                                                                                                                                                                                                                                                                                                                                                                                            Engenheiro Civil                                                                                                                                                                                                                                                                                                                                                                                                                                                                                                                                                                                                                                                                                                                                                                                                                                                                                                                                                                                                                                          CREA/MT: 045 990                    </t>
  </si>
  <si>
    <t xml:space="preserve">  Data:  ____ / ____ / _____.</t>
  </si>
  <si>
    <t>COBERTURA</t>
  </si>
  <si>
    <t xml:space="preserve">Renan Paris de Souza                                                                                                                                                                                                                                                                                                                                                                                                                                                                                                                                                                                          Engenheiro Civil                                                                                                                                                                                                                                                                                                                                                                                                                                                                                                                                                                                                                                                                                                                                                                                                                                                                                                                                                                                                                                          CREA/MT: 100728754-3                </t>
  </si>
  <si>
    <t xml:space="preserve">LISTA DE MATERIAIS </t>
  </si>
  <si>
    <t xml:space="preserve">INSTALAÇÕES ELÉTRICAS </t>
  </si>
  <si>
    <t>Caixa PVC 4x2" Alta</t>
  </si>
  <si>
    <t>9 pç</t>
  </si>
  <si>
    <t>Caixa PVC 4x2" Baixa</t>
  </si>
  <si>
    <t>54 pç</t>
  </si>
  <si>
    <t>Caixa PVC 4x2" Média</t>
  </si>
  <si>
    <t>16 pç</t>
  </si>
  <si>
    <t>Condulete PVC encaixe tipo C 3/4"</t>
  </si>
  <si>
    <t>23 pç</t>
  </si>
  <si>
    <t>Condulete PVC encaixe tipo LL 3/4"</t>
  </si>
  <si>
    <t>1 pç</t>
  </si>
  <si>
    <t>Condulete PVC encaixe tipo LR 1"</t>
  </si>
  <si>
    <t>Condulete PVC encaixe tipo LR 3/4"</t>
  </si>
  <si>
    <t>2 pç</t>
  </si>
  <si>
    <t>Condulete PVC encaixe tipo T 1"</t>
  </si>
  <si>
    <t>Luva PVC encaixe 3/4"</t>
  </si>
  <si>
    <t>4 pç</t>
  </si>
  <si>
    <t>Rasgo em Alvenaria até 40mm</t>
  </si>
  <si>
    <t>13.25 m</t>
  </si>
  <si>
    <t>Bucha de nylon S6</t>
  </si>
  <si>
    <t>88 pç</t>
  </si>
  <si>
    <t>Parafuso fenda galvan. cab. Panela 4,2x32mm autoatarrachante</t>
  </si>
  <si>
    <t>Cabo Unipolar (cobre) Isol. XLPE - 0,6/1kV  16 mm²</t>
  </si>
  <si>
    <t>19.5 m</t>
  </si>
  <si>
    <t>Cabo Unipolar (cobre) Isol. XLPE - 0,6/1kV  25 mm²</t>
  </si>
  <si>
    <t>78 m</t>
  </si>
  <si>
    <t>Cabo Unipolar (cobre) Isol.PVC - 450/750V  1.5 mm²</t>
  </si>
  <si>
    <t>390.3 m</t>
  </si>
  <si>
    <t>Cabo Unipolar (cobre) Isol.PVC - 450/750V  2.5 mm²</t>
  </si>
  <si>
    <t>1144.1 m</t>
  </si>
  <si>
    <t>Cabo Unipolar (cobre) Isol.PVC - 450/750V  4 mm²</t>
  </si>
  <si>
    <t>212.6 m</t>
  </si>
  <si>
    <t>Caixa de passagem - embutir Aço pintada  300x300x120 mm</t>
  </si>
  <si>
    <t>Caixa de passagem - embutir Aço pintada  400x400x150 mm</t>
  </si>
  <si>
    <t>5 pç</t>
  </si>
  <si>
    <t>Interruptor simples - 1 tecla C/  Placa 2x4"</t>
  </si>
  <si>
    <t>7 pç</t>
  </si>
  <si>
    <t>Placa 2x4" c/ furo</t>
  </si>
  <si>
    <t>8 pç</t>
  </si>
  <si>
    <t>Placa 2x4" p/ 1 função</t>
  </si>
  <si>
    <t>Placa 2x4" p/ 2 funções</t>
  </si>
  <si>
    <t>Placa 2x4" p/ 3 funções</t>
  </si>
  <si>
    <t>Tomada hexagonal (NBR 14136) (2) 2P+T 10A - Baixa C/ Placa 2x4"</t>
  </si>
  <si>
    <t>19 pç</t>
  </si>
  <si>
    <t>Tomada hexagonal (NBR 14136) 2P+T 10A Alta C/ Placa 2x4"</t>
  </si>
  <si>
    <t>Tomada hexagonal (NBR 14136) 2P+T 10A Baixa C/ Placa 2x4"</t>
  </si>
  <si>
    <t>32 pç</t>
  </si>
  <si>
    <t>Tomada hexagonal (NBR 14136) 2P+T 10A Média C/ Placa 2x4"</t>
  </si>
  <si>
    <t>Interruptor 1 tecla paralela e tomada hexagonal (NBR14136) S/ placa</t>
  </si>
  <si>
    <t>Interruptor 1 tecla simples e tomada hexagonal (NBR14136) S/ placa</t>
  </si>
  <si>
    <t>Interruptor 2 teclas - simples e paralela separadas S/ placa</t>
  </si>
  <si>
    <t>Tomada hexagonal (NBR 14136) 2P+T 10A S/ placa</t>
  </si>
  <si>
    <t xml:space="preserve">Tampa cega PVC p/ condulete </t>
  </si>
  <si>
    <t>Relé fotoelétrico 127V - 1200W resistivo c/ fotocélula</t>
  </si>
  <si>
    <t>Disjuntor Tripolar Termomagnético - norma DIN  100A - 10 kA</t>
  </si>
  <si>
    <t>Disjuntor Tripolar Termomagnético - norma DIN  90A - 10 kA</t>
  </si>
  <si>
    <t>Disjuntor Unipolar Termomagnético - norma DIN  10 A - 10 kA</t>
  </si>
  <si>
    <t>15 pç</t>
  </si>
  <si>
    <t>Disjuntor bipolar termomagnético (220 V/127 V) - DIN   10 A - 5 kA</t>
  </si>
  <si>
    <t>Disjuntor bipolar termomagnético (380 V/220 V) - DIN   16 A - 4.5 kA</t>
  </si>
  <si>
    <t>Disjuntor tripolar termomagnético (220 V/127 V) - DIN  100 A - 40 kA</t>
  </si>
  <si>
    <t>Dispositivo de proteção contra surto 175 V - 8 KA</t>
  </si>
  <si>
    <t>Interruptor tetrapolar DR (3 fases/neutro - In 30mA) - DIN 100 A</t>
  </si>
  <si>
    <r>
      <rPr>
        <rFont val="Calibri"/>
        <color/>
        <sz val="11.0"/>
      </rPr>
      <t xml:space="preserve">Eletroduto PVC encaixe c/ </t>
    </r>
    <r>
      <rPr>
        <rFont val="Calibri"/>
        <color rgb="FFFF0000"/>
        <sz val="11.0"/>
      </rPr>
      <t>Braçadeira galvan. tipo cunha3/4"</t>
    </r>
  </si>
  <si>
    <t>62 pç</t>
  </si>
  <si>
    <r>
      <rPr>
        <rFont val="Calibri"/>
        <color/>
        <sz val="11.0"/>
      </rPr>
      <t>Eletroduto PVC encaixe c/</t>
    </r>
    <r>
      <rPr>
        <rFont val="Calibri"/>
        <color rgb="FFFF0000"/>
        <sz val="11.0"/>
      </rPr>
      <t xml:space="preserve"> Braçadeira galvan. tipo unha 3/4"</t>
    </r>
  </si>
  <si>
    <t>26 pç</t>
  </si>
  <si>
    <t>Eletroduto  PVC encaixe c/ vara 3,0m 3/4"</t>
  </si>
  <si>
    <t>15.9 m</t>
  </si>
  <si>
    <t>Eletroduto  PVC encaixe c/ vara 3,0m 3/4" em forro</t>
  </si>
  <si>
    <t>55.35 m</t>
  </si>
  <si>
    <t>65 m</t>
  </si>
  <si>
    <t>Eletroduto PVC flexível leve 1"</t>
  </si>
  <si>
    <t>10 m</t>
  </si>
  <si>
    <t>Eletroduto PVC flexível leve 3/4"</t>
  </si>
  <si>
    <t>264.1 m</t>
  </si>
  <si>
    <t>277.25 m</t>
  </si>
  <si>
    <t>Eletroduto PVC flexível leve 3/4" em parede</t>
  </si>
  <si>
    <t>8.55 m</t>
  </si>
  <si>
    <t>Eletroduto  PVC flexível pesado 1.1/2"</t>
  </si>
  <si>
    <t>20.9 m</t>
  </si>
  <si>
    <t>Entrada de serviço - CEMAT (Multiplex) Trifásico T4</t>
  </si>
  <si>
    <t>Luminária embutir p/ fluoresc. Tubular 4x20 W</t>
  </si>
  <si>
    <t>Refletores 10W</t>
  </si>
  <si>
    <t>Refletores 50W</t>
  </si>
  <si>
    <t>Lâmpadas Tubular Led 20W</t>
  </si>
  <si>
    <t>92 pç</t>
  </si>
  <si>
    <t>Quadro de medição - CEMAT Unidade consumidora individual - embutir</t>
  </si>
  <si>
    <t>C/ ENTRADA SERVIÇO</t>
  </si>
  <si>
    <t>Quadro distrib. chapa pintada - embutir Barr. trif., disj. geral - DIN  Cap. 32 disj. unip. - In barr. 150A</t>
  </si>
  <si>
    <t>Conector RJ45 (CM8v)</t>
  </si>
  <si>
    <t>PABX 50/300</t>
  </si>
  <si>
    <t>Patch panel 24 posições</t>
  </si>
  <si>
    <t>3 pç</t>
  </si>
  <si>
    <t>Plugue 110 IDC - 4 pares</t>
  </si>
  <si>
    <t>Plugue RJ45 (CM8v)</t>
  </si>
  <si>
    <t>59 pç</t>
  </si>
  <si>
    <t>Guia de cabos aberto 1U</t>
  </si>
  <si>
    <t xml:space="preserve"> Anel organizador de cabos P/ Rack aberto 19"</t>
  </si>
  <si>
    <t>Bandeja deslizante perfurada P/ Rack aberto 19"</t>
  </si>
  <si>
    <t>Guia de cabos simples P/ Rack aberto 19"</t>
  </si>
  <si>
    <t>Guias de cabos vertical P/ Rack aberto 19"</t>
  </si>
  <si>
    <t>Kit pés niveladores P/ Rack aberto 19"</t>
  </si>
  <si>
    <t>Caixa PVC 4x2"</t>
  </si>
  <si>
    <t>Condulete alum. encaixe tipo C 1" sem tampa</t>
  </si>
  <si>
    <t>22 pç</t>
  </si>
  <si>
    <t>31 pç</t>
  </si>
  <si>
    <t>Cabo FTP-5e Blindado (24AWG)</t>
  </si>
  <si>
    <t>84 m</t>
  </si>
  <si>
    <t>Cabo  UTP-5e (24AWG)</t>
  </si>
  <si>
    <t>570.7 m</t>
  </si>
  <si>
    <t>Caixa de passagem - embutir Alvenaria 400x400x400mm</t>
  </si>
  <si>
    <t>Caixa de passagem - embutir Alvenaria C/ Tampa 400x400x50mm</t>
  </si>
  <si>
    <t>Caixa de passagem - sobrepor Aço pintada  250x250x100 mm</t>
  </si>
  <si>
    <t>Caixa de passagem - sobrepor Aço pintada  400x400x150 mm</t>
  </si>
  <si>
    <t>1 MÓDULOS RJ45 CAT 6 - CAIXA DE PVC 4X2 ALTA EMBUTIR C/ Placa 2x4" - Branca</t>
  </si>
  <si>
    <t xml:space="preserve">1 módulo - RJ45 C/ Placa 2x4"  </t>
  </si>
  <si>
    <t xml:space="preserve">2 MÓDULOS RJ45 CAT 6 - CONDULETE PVC TIPO C 1" C/ Placa 2x4"  </t>
  </si>
  <si>
    <t xml:space="preserve">2 módulos - RJ45 C/ Placa 2x4"   </t>
  </si>
  <si>
    <r>
      <rPr>
        <rFont val="Calibri"/>
        <color/>
        <sz val="11.0"/>
      </rPr>
      <t xml:space="preserve">Eletroduto PVC encaixe C/ </t>
    </r>
    <r>
      <rPr>
        <rFont val="Calibri"/>
        <color rgb="FFFF0000"/>
        <sz val="11.0"/>
      </rPr>
      <t>Braçadeira galvan. tipo cunha 3/4"</t>
    </r>
  </si>
  <si>
    <t>Eletroduto,  PVC encaixe C/ vara 3,0m 3/4" em forro</t>
  </si>
  <si>
    <t>22.3 m</t>
  </si>
  <si>
    <t>Eletroduto leve PVC flexível 1"</t>
  </si>
  <si>
    <t>40.4 m</t>
  </si>
  <si>
    <t>Eletroduto leve PVC flexível 3/4"</t>
  </si>
  <si>
    <t>66.1 m</t>
  </si>
  <si>
    <t>Eletroduto  PVC flexível pesado 1.1/4"</t>
  </si>
  <si>
    <t>15.5 m</t>
  </si>
  <si>
    <t xml:space="preserve">SPDA </t>
  </si>
  <si>
    <t>Barramento de equipotencialização C/ 5 terminais</t>
  </si>
  <si>
    <t>Caixa de inspeção PVC - Ø250x250mm</t>
  </si>
  <si>
    <t>6 pç</t>
  </si>
  <si>
    <t>Haste de aterramento - cobreada 3/4" x 2,40m</t>
  </si>
  <si>
    <t>Haste de aterramento - cobreada 3/4" x 3,00m</t>
  </si>
  <si>
    <t>Cabo de cobre Nú - 7 fios 25mm²</t>
  </si>
  <si>
    <t>7.74 m</t>
  </si>
  <si>
    <t>Cabo de cobre Nú - 7 fios 35mm²</t>
  </si>
  <si>
    <t>138.25 m</t>
  </si>
  <si>
    <t>Cabo de cobre Nú - 7 fios 50mm²</t>
  </si>
  <si>
    <t xml:space="preserve">108.26 m </t>
  </si>
  <si>
    <t>Terminal Aéreo 600 mm - Fixação horizontal</t>
  </si>
  <si>
    <t>28 pç</t>
  </si>
  <si>
    <t xml:space="preserve">Murilo Felipe Rebelato                                                                                                                                                                                                                                                                                                                                                                                                                                                                                                                                                                                       Engenheiro Eletricista                                                                                                                                                                                                                                                                                                                                                                                                                                                                                                                                                                                                                                                                                                                                                                                                                                                                                                                                                                                                                               CREA/MT: 120079049-9                </t>
  </si>
  <si>
    <t xml:space="preserve">Data: </t>
  </si>
  <si>
    <t>ALTA FLORESTA,CONFRESA, GUARANTÃ DO NORTE E TANGARÁ DA SERRA</t>
  </si>
  <si>
    <t>Área total do terreno</t>
  </si>
  <si>
    <t>1.9</t>
  </si>
  <si>
    <t>LOCAÇÃO CONVENCIONAL DE OBRA , UTILIZANDO GABARITO DE TÁBUAS CORRIDAS</t>
  </si>
  <si>
    <t>Utilizar o comprimento do gabarito com tábuas corridas</t>
  </si>
  <si>
    <t>PLANTA BAIXA - ESQUEMÁTICA</t>
  </si>
  <si>
    <t>PERÍMETRO TOTAL(M)</t>
  </si>
  <si>
    <t>LOCAÇÃO</t>
  </si>
  <si>
    <t>17,25+7,80+7,50+8,75+9,65+1,35+4,15+5,00+3,35+2,35+3,65+1,45+4,65+1,35</t>
  </si>
  <si>
    <t>Todo o perímetro da edificação</t>
  </si>
  <si>
    <t>ESTRUTURA DE CONCRETO</t>
  </si>
  <si>
    <t>4.0</t>
  </si>
  <si>
    <t>5.0</t>
  </si>
  <si>
    <t>IMPERMEABILIZAÇÃO</t>
  </si>
  <si>
    <t>6.0</t>
  </si>
  <si>
    <t>ALVENARIA</t>
  </si>
  <si>
    <t>EXECUÇÃO DE ALVENARIA DE ELEVAÇÃO  - BLOCO CERÂMICO</t>
  </si>
  <si>
    <t>BLOCO 01</t>
  </si>
  <si>
    <t>ALTURA (m)</t>
  </si>
  <si>
    <t>A X L vão</t>
  </si>
  <si>
    <t>Área vão (m²)</t>
  </si>
  <si>
    <t>Área Final (m²)</t>
  </si>
  <si>
    <t>PAREDES COM ÁREA LÍQUIDA MAIOR QUE 6M²- COM VÃO</t>
  </si>
  <si>
    <t>P1'(1,60x2,10)</t>
  </si>
  <si>
    <t xml:space="preserve"> P3(0,80X2,10)</t>
  </si>
  <si>
    <t>J2(2,30X1,10X3)+J1(1,10x1,00x2)</t>
  </si>
  <si>
    <t>J1(1,00x0,60x3)+J2(2,30x1,10x2)+P3(0,80x2,10)+P2(1,30x2,10)</t>
  </si>
  <si>
    <t>J3(2,20X1,10)</t>
  </si>
  <si>
    <t>P3(0,80X2,10)-J2(2,30X1,10)</t>
  </si>
  <si>
    <t>J2(2,30X1,10)</t>
  </si>
  <si>
    <t>J1(1,10X0,60X6)</t>
  </si>
  <si>
    <t>P7(0,80X2,10X4)</t>
  </si>
  <si>
    <t>PAREDES COM ÁREA LÍQUIDA MENOR QUE 6M² - SEM VÃO</t>
  </si>
  <si>
    <t>1,35+1,35+(1,85*4)+1,95</t>
  </si>
  <si>
    <t>4,15+1,50+4,80+3,65+1,65+4,30+4,00 (platibanda 01)</t>
  </si>
  <si>
    <t>3,55 (platibanda 02)</t>
  </si>
  <si>
    <t>PAREDES COM ÁREA LÍQUIDA MAIOR QUE 6M² - SEM VÃO</t>
  </si>
  <si>
    <t>7,50+4,00+3,35+4,00+4,50+5,0+(3,85X4)+3,75</t>
  </si>
  <si>
    <t>5,3 (platibanda 01)</t>
  </si>
  <si>
    <t>17,25+7,50+7,65 (platibanda 02)</t>
  </si>
  <si>
    <t>(4,60x2)+9,80 (platibanda 03)</t>
  </si>
  <si>
    <t>(4,00x2)+9,80 (platibanda 04)</t>
  </si>
  <si>
    <t>PAREDES  COM ÁREA LÍQUIDA MENOR QUE 6M² - COM VÃO</t>
  </si>
  <si>
    <t>1,20X1,10</t>
  </si>
  <si>
    <t>P4(0,80x2,10)</t>
  </si>
  <si>
    <t>P7(0,80X2,10)</t>
  </si>
  <si>
    <t>P4(1,00x2,10)</t>
  </si>
  <si>
    <t xml:space="preserve">ÁREA TOTAL DE ALVENARIA </t>
  </si>
  <si>
    <t>PAREDES  COM ÁREA LÍQUIDA MAIOR QUE 6M²- SEM VÃO</t>
  </si>
  <si>
    <t>PAREDES COM ÁREA LÍQUIDA MENOR QUE 6M² - COM VÃO</t>
  </si>
  <si>
    <t>6.1.2</t>
  </si>
  <si>
    <t>ELEMENTO VAZADO DE CONCRETO QUADRADO 16 FUROS</t>
  </si>
  <si>
    <t xml:space="preserve">Dimensão da esquadria com transpasse de 30cm para cada lado. </t>
  </si>
  <si>
    <t>ALTURA (M)</t>
  </si>
  <si>
    <t>DESC. DE VÃO</t>
  </si>
  <si>
    <t>ÁREA TOTAL (M²)</t>
  </si>
  <si>
    <t>0,90X2,10</t>
  </si>
  <si>
    <t>6.2.1</t>
  </si>
  <si>
    <t>VERGAS PARA JANELAS</t>
  </si>
  <si>
    <t>CÓDIGO/QUANTIDADE</t>
  </si>
  <si>
    <t>LARGURA</t>
  </si>
  <si>
    <t>TRANSPASSE</t>
  </si>
  <si>
    <t>COMPRIMENTO FINAL (M)</t>
  </si>
  <si>
    <t>J1X11</t>
  </si>
  <si>
    <t>0,30+0,30</t>
  </si>
  <si>
    <t>J2X06</t>
  </si>
  <si>
    <t>J3X2</t>
  </si>
  <si>
    <t>J4X1</t>
  </si>
  <si>
    <t>6.2.2</t>
  </si>
  <si>
    <t>VERGAS PARA PORTAS</t>
  </si>
  <si>
    <t>P1X1</t>
  </si>
  <si>
    <t>P2X1</t>
  </si>
  <si>
    <t>P3X3</t>
  </si>
  <si>
    <t>P4X1</t>
  </si>
  <si>
    <t>P5X1</t>
  </si>
  <si>
    <t>P6X1</t>
  </si>
  <si>
    <t>P7X5</t>
  </si>
  <si>
    <t>6.2.3</t>
  </si>
  <si>
    <t>CONTRA-VERGAS</t>
  </si>
  <si>
    <t>7.0</t>
  </si>
  <si>
    <t>COBERTURA  COM TELHA METÁLICA ISOTÉRMICA E=43MM, COM ATÉ DUAS ÁGUAS, INCLUSO IÇAMENTO</t>
  </si>
  <si>
    <t>Utilizar área de Projeção do Telhado</t>
  </si>
  <si>
    <t>Área de cobertura do prédio</t>
  </si>
  <si>
    <t xml:space="preserve">Valor retirado através do Projeto Arquitetônico pelo Projetista. </t>
  </si>
  <si>
    <t>ESTRUTURA METÁLICA DA COBERTURA</t>
  </si>
  <si>
    <t>REGULARIZAÇÃO DE LAJE - CAIMENTO PARA ESCOAMENTO DA ÁGUA INCL. 2%</t>
  </si>
  <si>
    <t>AMBIENTES</t>
  </si>
  <si>
    <t xml:space="preserve">Beiral Externo </t>
  </si>
  <si>
    <t>8.0</t>
  </si>
  <si>
    <t>P1 - 2 folhas</t>
  </si>
  <si>
    <t>RETIRAR P2</t>
  </si>
  <si>
    <t>P5 - ACRESCER + 1 UN</t>
  </si>
  <si>
    <t>P5 - 2 folhas</t>
  </si>
  <si>
    <t xml:space="preserve">PORTA DE ABRIR DE FERRO EM CHAPA CORRUGADA </t>
  </si>
  <si>
    <t xml:space="preserve">PORTA DE ABRIR EM MADEIRA </t>
  </si>
  <si>
    <t>P2</t>
  </si>
  <si>
    <t xml:space="preserve">PORTA DE ABRIR DE MADEIRA </t>
  </si>
  <si>
    <t>P3</t>
  </si>
  <si>
    <t>8.4</t>
  </si>
  <si>
    <t>PORTA DE MADEIRA</t>
  </si>
  <si>
    <t>8.5</t>
  </si>
  <si>
    <t>PORTA DE ABRIR EM ALUMÍNIO E VIDRO 8MM  - 2 FOLHAS</t>
  </si>
  <si>
    <t>8.6</t>
  </si>
  <si>
    <t>PORTA DE CORRER DE MADEIRA</t>
  </si>
  <si>
    <t>8.7</t>
  </si>
  <si>
    <t>PORTA DE ABRIR EM ALUMÍNIO</t>
  </si>
  <si>
    <t>P7</t>
  </si>
  <si>
    <t>8.8</t>
  </si>
  <si>
    <t>P8</t>
  </si>
  <si>
    <t>8.9</t>
  </si>
  <si>
    <t>8.10</t>
  </si>
  <si>
    <t>8.11</t>
  </si>
  <si>
    <t>JANELA MAXIM AR DE ALUMÍNIO COM VIDRO LISO 6MM</t>
  </si>
  <si>
    <t>J1</t>
  </si>
  <si>
    <t>8.12</t>
  </si>
  <si>
    <t>J2</t>
  </si>
  <si>
    <t>8.13</t>
  </si>
  <si>
    <t>JANELA CORRER DE  ALUMÍNIO COM VIDRO LISO 6MM</t>
  </si>
  <si>
    <t>8.14</t>
  </si>
  <si>
    <t>J4</t>
  </si>
  <si>
    <t>8.15</t>
  </si>
  <si>
    <t>J5</t>
  </si>
  <si>
    <t>8.16</t>
  </si>
  <si>
    <t xml:space="preserve">PEITORIL EM GRANITO BRANCO SIENA </t>
  </si>
  <si>
    <t>Utilizar as dimensões estipuladas em Projeto Arquitetônico</t>
  </si>
  <si>
    <t>AMBIENTE</t>
  </si>
  <si>
    <t>COMPRIMENTO</t>
  </si>
  <si>
    <t xml:space="preserve">Ver detalhe do peitoril </t>
  </si>
  <si>
    <t>8.17</t>
  </si>
  <si>
    <t>5,40+2,90</t>
  </si>
  <si>
    <t>8.18</t>
  </si>
  <si>
    <t xml:space="preserve">SOLEIRA EM GRANITO BRANCO SIENA POLIDO </t>
  </si>
  <si>
    <t>Ver detalhe do peitoril no Caderno de Detalhes</t>
  </si>
  <si>
    <t>9.0</t>
  </si>
  <si>
    <t>REVESTIMENTOS</t>
  </si>
  <si>
    <t>CHAPISCO PARA PAREDES INTERNAS</t>
  </si>
  <si>
    <t>Utilizar área de revestimento efetivamente executada. Todos os vãos deverão ser descontados.</t>
  </si>
  <si>
    <t>ÁREA LÍQUIDA MENOR QUE 5M²</t>
  </si>
  <si>
    <t>Administrativo (1,50)</t>
  </si>
  <si>
    <t>Reunião (1,95)</t>
  </si>
  <si>
    <t>P3(0,80x2,10)</t>
  </si>
  <si>
    <t>Banheiro Feminino (1,05+2,85+3,85+1,85+1,08+2,0)</t>
  </si>
  <si>
    <t>Banheiro Masculino (1,05+2,85+3,85+1,85+1,08+2,0)</t>
  </si>
  <si>
    <r>
      <rPr>
        <rFont val="Arial"/>
        <sz val="9.0"/>
      </rPr>
      <t xml:space="preserve">Banheiro PNE Masc.                                         </t>
    </r>
    <r>
      <rPr>
        <rFont val="Arial"/>
        <color rgb="FFFF0000"/>
        <sz val="9.0"/>
      </rPr>
      <t xml:space="preserve">  (</t>
    </r>
    <r>
      <rPr>
        <rFont val="Arial"/>
        <sz val="9.0"/>
      </rPr>
      <t>1,85+1,85+1,65+1,65)</t>
    </r>
  </si>
  <si>
    <t>J5 (0,40X0,60)</t>
  </si>
  <si>
    <r>
      <rPr>
        <rFont val="Arial"/>
        <sz val="9.0"/>
      </rPr>
      <t>Banheiro PNE Fem</t>
    </r>
    <r>
      <rPr>
        <rFont val="Arial"/>
        <color rgb="FFFF0000"/>
        <sz val="9.0"/>
      </rPr>
      <t>.                             (</t>
    </r>
    <r>
      <rPr>
        <rFont val="Arial"/>
        <sz val="9.0"/>
      </rPr>
      <t>1,85+1,85+1,65+1,65)</t>
    </r>
  </si>
  <si>
    <t>DML (1,35+1,35+2,35+2,35)</t>
  </si>
  <si>
    <t>Copa (3,85+3,85+2,0+2,00)</t>
  </si>
  <si>
    <t>ÁREA LÍQUIDA ENTRE 5M² E 10M²</t>
  </si>
  <si>
    <t>Administrativo (3,50)</t>
  </si>
  <si>
    <t>Depósito 02 (3,35+3,15)</t>
  </si>
  <si>
    <t>P3(0,80x2,10)+J1(1,10x0,60x2)</t>
  </si>
  <si>
    <t>Depósito (3,35+3,15)</t>
  </si>
  <si>
    <t>Sala do Diretor (4,00+4,00)</t>
  </si>
  <si>
    <t>J3(2,20x1,10)+P3(0,80x2,10)</t>
  </si>
  <si>
    <t>Reunião (3,50)</t>
  </si>
  <si>
    <t>J3(2,20x1,10)</t>
  </si>
  <si>
    <t>Reunião (2,55+2,00)</t>
  </si>
  <si>
    <t>Recepção (4,00)</t>
  </si>
  <si>
    <t>P5(1,30x2,10)+J2(2,30x1,10)</t>
  </si>
  <si>
    <t>Hall interno (2,15+1,35+1,50)</t>
  </si>
  <si>
    <t>(1,20x1,10)+P7(0,80*2,10)+P6(0,90x2,10)</t>
  </si>
  <si>
    <t>Hall interno (2,15)</t>
  </si>
  <si>
    <t>Hall interno (4,60+9,65)</t>
  </si>
  <si>
    <t>J2(2,30*1,10*2)+P3(0,80*2,10)+P4(1,00*2,10)</t>
  </si>
  <si>
    <t>Hall interno (4,60)</t>
  </si>
  <si>
    <t>ÁREA LÍQUIDA MAIOR QUE 10M²</t>
  </si>
  <si>
    <t>Depósito 01 (7,50+4,65)</t>
  </si>
  <si>
    <t>P1(1,60X2,10)+J1(3X1,10X0,60)</t>
  </si>
  <si>
    <t>Administrativo (8,85+10,35)</t>
  </si>
  <si>
    <t>J2(2,30x1,10x3)+J2(2,30x1,10x2)</t>
  </si>
  <si>
    <t>Administrativo (4,65+4,0)</t>
  </si>
  <si>
    <t>Reunião (5,50)</t>
  </si>
  <si>
    <t>J2(2,30x1,10)</t>
  </si>
  <si>
    <t>Reunião(4,50)</t>
  </si>
  <si>
    <t>Recepção (5,00)</t>
  </si>
  <si>
    <t>Recepção (4,00+5,00)</t>
  </si>
  <si>
    <t>Hall interno(6,15)</t>
  </si>
  <si>
    <t>P7(0,80*2,10*4)+ J5(0,40X0,60X2)</t>
  </si>
  <si>
    <t>ÁREA TOTAL DO CHAPISCO PARA REVESTIMENTO CERÂMICO</t>
  </si>
  <si>
    <t>MASSA ÚNICA PARA PAREDES INTERNAS</t>
  </si>
  <si>
    <t>Banheiro PNE Masc. 91,85+1,85+1,65+1,65)</t>
  </si>
  <si>
    <t>Banheiro PNE Fem. 91,85+1,85+1,65+1,65)</t>
  </si>
  <si>
    <t>ÁREA TOTAL MASSA ÚNICA PARA PINTURA</t>
  </si>
  <si>
    <t>9.3</t>
  </si>
  <si>
    <t>EMBOÇO PARA RECEBIMENTO DE REVESTIMENTO CERÂMICO - PAREDES INTERNAS</t>
  </si>
  <si>
    <t>Banheiro Feminino (1,05+2,85)</t>
  </si>
  <si>
    <t>P7(0,80x2,10)+J1(1,10x0,60)</t>
  </si>
  <si>
    <t>Banheiro Feminino (1,85+1,08+2,00)</t>
  </si>
  <si>
    <t>Banheiro Masculino (1,05+2,85)</t>
  </si>
  <si>
    <t>Banheiro Masculino (1,85+1,08+2,00)</t>
  </si>
  <si>
    <t>DML (1,35+1,35)</t>
  </si>
  <si>
    <t>DML (2,35+2,35)</t>
  </si>
  <si>
    <t>Copa (2,0+2,0)</t>
  </si>
  <si>
    <t>J1(1,10*0,60)+(1,20*1,10)</t>
  </si>
  <si>
    <t>Banheiro PNE Fem.(1,85+1,85+1,65+1,65)</t>
  </si>
  <si>
    <t>P7(0,80x2,10)+J5(0,40X0,60)</t>
  </si>
  <si>
    <t>Banheiro PNE Masc.(1,85+1,85+1,65+1,65)</t>
  </si>
  <si>
    <t>Banheiro Feminino (3,85)</t>
  </si>
  <si>
    <t>Banheiro Masculino (3,85)</t>
  </si>
  <si>
    <t>Copa (3,85)</t>
  </si>
  <si>
    <t>P6(0,80*2,10)</t>
  </si>
  <si>
    <t>ÁREA TOTAL DO EMBOÇO PARA REVESTIMENTO CERÂMICO</t>
  </si>
  <si>
    <t>9.4</t>
  </si>
  <si>
    <t>REVESTIMENTO CERÂMICO PAREDES INTERNAS 30X60CM</t>
  </si>
  <si>
    <t>ÁREA TOTAL DE REVESTIMENTO CERÂMICO</t>
  </si>
  <si>
    <t>9.5</t>
  </si>
  <si>
    <t>CHAPISCO PARA PAREDES EXTERNAS</t>
  </si>
  <si>
    <t>Platibanda (4,75+9,50+4,75)</t>
  </si>
  <si>
    <t>Platibanda (4,15+4+1,60+3,80+4,50+1,65+5,15+4)</t>
  </si>
  <si>
    <t>Platibanda (3,85+3,85+9,80+9,80)</t>
  </si>
  <si>
    <t>Platibanda (7,80+7,50+17,10+3,35)</t>
  </si>
  <si>
    <t>Platibanda Int. (3,35+1,80)</t>
  </si>
  <si>
    <t>Platibanda Int. (7,80+7,50)</t>
  </si>
  <si>
    <t>Platibanda Int. (4,15)</t>
  </si>
  <si>
    <t>Platibanda Int. (4,45+4,60+4,60)</t>
  </si>
  <si>
    <t>Platibanda Int. (2,50)</t>
  </si>
  <si>
    <t>Platibanda Int. (3,85+3,85)</t>
  </si>
  <si>
    <t>Hall interno Platibanda (4,60)</t>
  </si>
  <si>
    <t>3,65+4,80</t>
  </si>
  <si>
    <t>J3 (2,20x1,10)+J2(2,30x1,10)</t>
  </si>
  <si>
    <t>9,80+4,15</t>
  </si>
  <si>
    <t>J1(1,10x0,60)x6</t>
  </si>
  <si>
    <t>7,80+7,80+17,25</t>
  </si>
  <si>
    <t>J2 (2,30x1,10)x3+J1(1,10x0,60)x2+P1(1,60x2,10)</t>
  </si>
  <si>
    <t>P5(1,30x2,10)+(2,30x1,10)</t>
  </si>
  <si>
    <t>Platibanda Int. (7,50)</t>
  </si>
  <si>
    <t>Platibanda Int. (16,95)</t>
  </si>
  <si>
    <t>Platibanda Int. (9,50+9,50+9,50)</t>
  </si>
  <si>
    <t>9.6</t>
  </si>
  <si>
    <t>EMBOÇO PARA RECEBIMENTO DE REVESTIMENTO CERÂMICO - PAREDES EXTERNAS</t>
  </si>
  <si>
    <t>9.7</t>
  </si>
  <si>
    <t>MASSA ÚNICA PARA RECEBIMENTO DE PINTURA - PAREDES EXTERNAS</t>
  </si>
  <si>
    <r>
      <rPr>
        <rFont val="Arial"/>
        <b/>
        <sz val="9.0"/>
      </rPr>
      <t>ÁREA TOTAL DA MASSA ÚNICA</t>
    </r>
    <r>
      <rPr>
        <rFont val="Arial"/>
        <b/>
        <color rgb="FFFF0000"/>
        <sz val="9.0"/>
      </rPr>
      <t xml:space="preserve"> </t>
    </r>
    <r>
      <rPr>
        <rFont val="Arial"/>
        <b/>
        <sz val="9.0"/>
      </rPr>
      <t>PARA REVESTIMENTO CERÂMICO</t>
    </r>
  </si>
  <si>
    <t>9.8</t>
  </si>
  <si>
    <t>REVESTIMENTO CERÂMICO - PAREDES EXTERNAS</t>
  </si>
  <si>
    <t>9.9</t>
  </si>
  <si>
    <t>CHAPISCO PARA LAJE</t>
  </si>
  <si>
    <t>Critérios para quantificação dos serviços</t>
  </si>
  <si>
    <t>Utilizar área de revestimento efetivamente executada. A área de projeção das paredes deve ser descontada.</t>
  </si>
  <si>
    <t>Depósito 01</t>
  </si>
  <si>
    <t>O beiral náo receberá chapisco, receberá somente textura.</t>
  </si>
  <si>
    <t>Administrativo</t>
  </si>
  <si>
    <t>Depósito 02</t>
  </si>
  <si>
    <t>Diretor</t>
  </si>
  <si>
    <t>Sala de Reunião</t>
  </si>
  <si>
    <t>Recepção</t>
  </si>
  <si>
    <t>Copa</t>
  </si>
  <si>
    <t>DML</t>
  </si>
  <si>
    <t>Banheiro Masculino</t>
  </si>
  <si>
    <t>Banheiro PNE Masc.</t>
  </si>
  <si>
    <t>Banheiro Feminino</t>
  </si>
  <si>
    <t>Banheiro PNE Fem.</t>
  </si>
  <si>
    <t>9.10</t>
  </si>
  <si>
    <t xml:space="preserve">MASSA ÚNICA PARA LAJE </t>
  </si>
  <si>
    <t>PISOS</t>
  </si>
  <si>
    <t>NIVELAMENTO E APILOAMENTO DE BASE PARA RECEBIMENTO DO CONTAPISO</t>
  </si>
  <si>
    <t>Critérios para quantificação dos serviços: Menores de 5m², entre 5 e 10m² e maior que 10m²</t>
  </si>
  <si>
    <t>ÁREA TOTAL(M²)</t>
  </si>
  <si>
    <t>DML, Banheiro PNE Masculino, Banheiro PNE Feminino.</t>
  </si>
  <si>
    <t>3,18+2,78+2,78</t>
  </si>
  <si>
    <t>ambientes com área menor que 5m²</t>
  </si>
  <si>
    <t>Copa, Banheiro Masculino, Banheiro Feminino</t>
  </si>
  <si>
    <t>7,70+7,68+7,68</t>
  </si>
  <si>
    <t>ambientes com área entre 5m² e 10m²</t>
  </si>
  <si>
    <t>Depósito 01, Administrativo, Depósito 02, Diretor, Reunião, Recepção, Hall Interno/Circulação, Hall Externo</t>
  </si>
  <si>
    <t>34,87+72,37+10,55+16,00+19,64+20+30,21+10,61</t>
  </si>
  <si>
    <t>ambientes com área maior que 10m²</t>
  </si>
  <si>
    <t xml:space="preserve">Calçada Externa interior do terreno, Área Técnica, Calçada Ruas </t>
  </si>
  <si>
    <t>66,73+13,70+31,95+4,46+68,14+108,42</t>
  </si>
  <si>
    <t>Calçada de concreto</t>
  </si>
  <si>
    <t xml:space="preserve">ÁREA TOTAL </t>
  </si>
  <si>
    <t>LASTRO DE CONCRETO ESPESSURA 6CM (CONTRAPISO)</t>
  </si>
  <si>
    <t>Calçada Externa interior do terreno, Área Técnica</t>
  </si>
  <si>
    <t>66,73+13,70+31,95+4,46</t>
  </si>
  <si>
    <t>10.3</t>
  </si>
  <si>
    <t>CALÇADA RUA 24-A E RUA 09</t>
  </si>
  <si>
    <t>RUAS 24-A E RUA 09</t>
  </si>
  <si>
    <t>68,14+108,42</t>
  </si>
  <si>
    <t>10.4</t>
  </si>
  <si>
    <t>REGULARIZAÇÃO DESEMPENADA DE BASE PARA REVESTIMENTO DE PISO (6CM)</t>
  </si>
  <si>
    <t>10.5</t>
  </si>
  <si>
    <t>REVESTIMENTO PORCELANATO RETIFICADO, COR CINZA CLARO, PIV, DIMENSÕES DE 60CMX60CM. REJUNTE CINZA</t>
  </si>
  <si>
    <t>10.6</t>
  </si>
  <si>
    <t>RODAPÉ EMBUTIDO EM PORCELANATO RETIFICADO, COR CINZA CLARO, PIV, DIMENSÕES DE 60CMX60CM. REJUNTE CINZA</t>
  </si>
  <si>
    <t>Critérios para quantificação dos serviços: perímetro do ambiente</t>
  </si>
  <si>
    <t xml:space="preserve">Utilizar área de revestimento efetivamente executada. </t>
  </si>
  <si>
    <t>PERÍMETRO DESCONTADO OS VÃO</t>
  </si>
  <si>
    <t>ALTURA 15CM</t>
  </si>
  <si>
    <t>recepção, situação, diretor depósito, administração, depósito, hall interno</t>
  </si>
  <si>
    <r>
      <rPr>
        <rFont val="Arial"/>
        <sz val="9.0"/>
      </rPr>
      <t xml:space="preserve">15,70+19,2+15,2+12,20+33,60+22,70+13,30 = </t>
    </r>
    <r>
      <rPr>
        <rFont val="Arial"/>
        <b/>
        <sz val="9.0"/>
      </rPr>
      <t>131,90</t>
    </r>
  </si>
  <si>
    <t>(15,70+19,2+15,2+12,20+33,60+22,70+13,30)*0,15</t>
  </si>
  <si>
    <t>DIVISÓRIA EM GRANITO</t>
  </si>
  <si>
    <t>DIVISÓRIA EM GRANITO PARA BOX DE VASOS SANITÁRIOS</t>
  </si>
  <si>
    <t>Utilizar a área da parede descontando os vãos</t>
  </si>
  <si>
    <t>Banh. Masculino</t>
  </si>
  <si>
    <t>1,85+1,51</t>
  </si>
  <si>
    <t>(0,80X1,60X2)+(0,16M²X2)</t>
  </si>
  <si>
    <t>Banh. Feminino</t>
  </si>
  <si>
    <t>1,85+1,52</t>
  </si>
  <si>
    <t xml:space="preserve">BANCADAS </t>
  </si>
  <si>
    <t>BANCADA DE GRANITO CINZA POLIDO, COM BORDA ARREDONDADA - COPA</t>
  </si>
  <si>
    <t>Área total em metro quadrado</t>
  </si>
  <si>
    <t>PIA</t>
  </si>
  <si>
    <t>FRONTÃO</t>
  </si>
  <si>
    <t>ÁREA FRONTÃO (M²)</t>
  </si>
  <si>
    <t>ÁREA PIA</t>
  </si>
  <si>
    <t>0,60X2,00</t>
  </si>
  <si>
    <t>0,10X(0,60+0,60+2)</t>
  </si>
  <si>
    <t>BANCADA EM GRANITO CINZA POLIDO - BANHEIROS</t>
  </si>
  <si>
    <t>Banheiro Masc. e Fem.</t>
  </si>
  <si>
    <t>0,60x1,30</t>
  </si>
  <si>
    <t>(0,10*(1,30+0,60))</t>
  </si>
  <si>
    <t>BANCADA EM GRANITO CINZA POLIDO PARA  ATENDIMENTO - COPA</t>
  </si>
  <si>
    <t>Área (M²)</t>
  </si>
  <si>
    <t>Copa - Atendimento</t>
  </si>
  <si>
    <t>CONCRETO</t>
  </si>
  <si>
    <t>ÁREA SESSÃO</t>
  </si>
  <si>
    <t>ÁREA (M³)</t>
  </si>
  <si>
    <t>ÁREA TOTAL CONCRETO (M³)</t>
  </si>
  <si>
    <t xml:space="preserve">PINTURA </t>
  </si>
  <si>
    <t>SELADOR PARA PAREDES INTERNAS, UMA DEMÃO.</t>
  </si>
  <si>
    <t>Critérios para quantificação dos serviços: equivalente à área de reboco</t>
  </si>
  <si>
    <t>Utilizar a área de aplicação da pintura em alvenaria. Descontando os vãos.</t>
  </si>
  <si>
    <t>P7(0,80*2,10*4)</t>
  </si>
  <si>
    <t>ÁREA TOTAL DO SELADOR PARA PAREDES INTERNAS, UMA DEMÃO.</t>
  </si>
  <si>
    <t>EMASSAMENTO DE PAREDES INTERNAS</t>
  </si>
  <si>
    <t>ÁREA TOTAL DO EMASSAMENTO DE PAREDES INTERNAS</t>
  </si>
  <si>
    <t>PINTURA ACRÍLICA EM PAREDES INTERNAS DUAS DEMÃOS</t>
  </si>
  <si>
    <t>ÁREA TOTAL DA PINTURA ACRÍLICA EM PAREDES INTERNAS DUAS DEMÃOS</t>
  </si>
  <si>
    <t xml:space="preserve">SELADOR PARA LAJE </t>
  </si>
  <si>
    <t>hall de entrada</t>
  </si>
  <si>
    <t>Beiral Externo - espessura 20cm</t>
  </si>
  <si>
    <t>EMASSAMENTO DE TETO</t>
  </si>
  <si>
    <t>PINTURA EM LAJE COM TINTA ACRÍLICA 02 DEMÃOS</t>
  </si>
  <si>
    <t>SELADOR PARA PAREDES EXTERNAS, UMA DEMÃO</t>
  </si>
  <si>
    <t>ÁREA TOTAL DO SELADOR PARA PAREDES EXTERNAS, UMA DEMÃO</t>
  </si>
  <si>
    <t>TEXTURA PARA PAREDES EXTERNAS, DUAS DEMÃO</t>
  </si>
  <si>
    <t>ÁREA TOTAL DA TEXTURA PARA PAREDES EXTERNAS, DUAS DEMÃO</t>
  </si>
  <si>
    <t xml:space="preserve">TEXTURA PARA BEIRAL </t>
  </si>
  <si>
    <t>PINTURA DE ESQUADRIAS METÁLICAS</t>
  </si>
  <si>
    <t>L X H</t>
  </si>
  <si>
    <t>1,60X2,10</t>
  </si>
  <si>
    <t>Área da esquadria vezes 4</t>
  </si>
  <si>
    <t>PINTURA DE ESQUADRIAS DE MADEIRA - SELADOR E VERNIZ</t>
  </si>
  <si>
    <t>1,30X2,10</t>
  </si>
  <si>
    <t>Área da esquadria vezes 2</t>
  </si>
  <si>
    <t>0,80X2,10X3</t>
  </si>
  <si>
    <t>1,00X2,10</t>
  </si>
  <si>
    <t>0,80X2,10</t>
  </si>
  <si>
    <t>APARELHOS SANITÁRIOS E METAIS</t>
  </si>
  <si>
    <t>FORNECIMENTO E INSTALAÇÃO DE BACIA SANITÁRIA</t>
  </si>
  <si>
    <t>14.1.1</t>
  </si>
  <si>
    <t>FORNECIMENTO E INSTALAÇÃO DE BACIA SANITÁRIA COM CAIXA ACOPLADA</t>
  </si>
  <si>
    <t>Quantidade de peças que constam no Projeto Arquitetônico</t>
  </si>
  <si>
    <t xml:space="preserve">AMBIENTE </t>
  </si>
  <si>
    <t xml:space="preserve">QUANTIDADE </t>
  </si>
  <si>
    <t>FORNECIMENTO E INSTALAÇÃO DE LAVATÓRIO SEM COLUNA</t>
  </si>
  <si>
    <t>Banh. PNE Masc.</t>
  </si>
  <si>
    <t>Banh. PNE Fem.</t>
  </si>
  <si>
    <t>FORNECIMENTO E INSTALAÇÃO DE LAVATÓRIO COM COLUNA SUSPENSA PARA PcD</t>
  </si>
  <si>
    <t>PcD Masculino</t>
  </si>
  <si>
    <t>Pcd Feminino</t>
  </si>
  <si>
    <t>Banh. Masc na sala dos Prof.</t>
  </si>
  <si>
    <t>Banh. Fem na sala dos Prof.</t>
  </si>
  <si>
    <t>FORNECIMENTO E INSTALAÇÃO DE CUBA OVAL</t>
  </si>
  <si>
    <t>FORNECIMENTO E INSTALAÇÃO DE TORNEIRA DE MESA PARA BANCADA OU LAVATÓRIO</t>
  </si>
  <si>
    <t>FORNECIMENTO E INSTALAÇÃO DE TORNEIRA PARA LAVATÓRIO COM ALAVANCA PARA PCD</t>
  </si>
  <si>
    <t>PCD</t>
  </si>
  <si>
    <t>PcD Feminino</t>
  </si>
  <si>
    <t>FORNECIMENTO E INSTALAÇÃO DE TORNEIRA PARA COZINHA</t>
  </si>
  <si>
    <t>FORNECIMENTO E INSTALAÇÃO DE BARRAS DE APOIO PARA PcD</t>
  </si>
  <si>
    <t>14.8.1</t>
  </si>
  <si>
    <t>FORNECIMENTO E INSTALAÇÃO DE BARRAS DE APOIO PARA PcD - 40CM</t>
  </si>
  <si>
    <t>BARRA 40CM</t>
  </si>
  <si>
    <t>Banheiro PcD Fem.</t>
  </si>
  <si>
    <t>Banheiro PcD  Masc.</t>
  </si>
  <si>
    <t>TOTAL (Unid.)</t>
  </si>
  <si>
    <t>14.8.2</t>
  </si>
  <si>
    <t>FORNECIMENTO E INSTALAÇÃO DE BARRAS DE APOIO PARA PcD - 70CM</t>
  </si>
  <si>
    <t xml:space="preserve">BARRA 70CM </t>
  </si>
  <si>
    <t>Banheiro PcD Masc.</t>
  </si>
  <si>
    <t>14.8.3</t>
  </si>
  <si>
    <t>FORNECIMENTO E INSTALAÇÃO DE BARRAS DE APOIO PARA PcD - 80CM</t>
  </si>
  <si>
    <t>BARRA 80CM</t>
  </si>
  <si>
    <t>14.8.4</t>
  </si>
  <si>
    <t>FORNECIMENTO E INSTALAÇÃO DE SABONETEIRA</t>
  </si>
  <si>
    <t>Banheiro PcDFem.</t>
  </si>
  <si>
    <t>Banheiro Masc.</t>
  </si>
  <si>
    <t>Saboneteira - Imagem ilustrativa</t>
  </si>
  <si>
    <t>Banheiro Fem.</t>
  </si>
  <si>
    <t>14.8.5</t>
  </si>
  <si>
    <t>FORNECIMENTO E INSTALAÇÃO DE PORTA PAPEL TOALHA</t>
  </si>
  <si>
    <t>14.8.6</t>
  </si>
  <si>
    <t>FORNECIMENTO E INSTALAÇÃO DE PORTA PAPEL HIGIÊNICO</t>
  </si>
  <si>
    <t>Papeleira - Imagem ilustrativa</t>
  </si>
  <si>
    <t>14.8.7</t>
  </si>
  <si>
    <t>FORNECIMENTO E INSTALAÇÃO DE ESPELHOS DIMENSÃO 0,45M X 0,90M</t>
  </si>
  <si>
    <t>área m²</t>
  </si>
  <si>
    <t xml:space="preserve">Banh. Masc </t>
  </si>
  <si>
    <t xml:space="preserve">Banh. Fem </t>
  </si>
  <si>
    <t>FORNECIMENTO E INSTALAÇÃO DE CUBAS DE INOX</t>
  </si>
  <si>
    <t>14.9.1</t>
  </si>
  <si>
    <t>FORNECIMENTO E INSTALAÇÃO DE CUBAS DE INOX 40X50X21</t>
  </si>
  <si>
    <t>DIMENSÃO (CM)</t>
  </si>
  <si>
    <t>INSTALAÇÃO DE ÁGUA FRIA</t>
  </si>
  <si>
    <t>INSTALAÇÕES DE ESGOTO</t>
  </si>
  <si>
    <t>DRENAGEM DE ÁGUAS PLUVIAIS</t>
  </si>
  <si>
    <t>INSTALAÇÃO DE PREVENÇÃO E COMBATE CONTRA INCÊNDIO E PÂNICO</t>
  </si>
  <si>
    <t>SISTEMA DE PROTEÇÃO CONTRA DESCARGAS ATMOSFÉRICAS - SPDA</t>
  </si>
  <si>
    <t>21.1</t>
  </si>
  <si>
    <t>Calçadas Rua 24 A, Rua 09, Acesso de pedestres, Acesso de carros. Apoio Técnico</t>
  </si>
  <si>
    <t>31,95+108,42+13,70+68,14+4,46</t>
  </si>
  <si>
    <t>21.2</t>
  </si>
  <si>
    <t>Rua 24A 27,48+ Rua 09 41,78</t>
  </si>
  <si>
    <t>21.3</t>
  </si>
  <si>
    <t>MEIO FIO  DE CONCRETO MOLDADO "IN LOCO" - TRECHO CURVO</t>
  </si>
  <si>
    <t>21.4</t>
  </si>
  <si>
    <t>72,98+21,26+99,48+15,52</t>
  </si>
  <si>
    <t>21.5</t>
  </si>
  <si>
    <t>72,98+21,26+99,48</t>
  </si>
  <si>
    <t>21.6</t>
  </si>
  <si>
    <t>21.7</t>
  </si>
  <si>
    <t>21.8</t>
  </si>
  <si>
    <t>21.9</t>
  </si>
  <si>
    <t>24,90+44,70</t>
  </si>
  <si>
    <t>21.9.1</t>
  </si>
  <si>
    <t>(24,90+44,70)X2</t>
  </si>
  <si>
    <t>(24,90+44,70)</t>
  </si>
  <si>
    <t>21.9.2</t>
  </si>
  <si>
    <t>21.9.3</t>
  </si>
  <si>
    <t>21.9.4</t>
  </si>
  <si>
    <t>21.9.5</t>
  </si>
  <si>
    <t>21.10</t>
  </si>
  <si>
    <t>21.11</t>
  </si>
  <si>
    <t>21.12</t>
  </si>
  <si>
    <t>21.13</t>
  </si>
  <si>
    <t>7,70+(4,90X5)+20,8+(5X5)+(5,90X3)+((0,31+1,20+(1,41X6)+0,70)X2</t>
  </si>
  <si>
    <t>21.14</t>
  </si>
  <si>
    <t>21.15</t>
  </si>
  <si>
    <t>MURO EM ALVENARIA DE TIJOLO CERÂMICO</t>
  </si>
  <si>
    <t>73,76+38,25</t>
  </si>
  <si>
    <t>21.15.1</t>
  </si>
  <si>
    <t>CHAPISCO TRAÇO 1:3 PARA ALVENARIA - MURO</t>
  </si>
  <si>
    <t>(73,76+38,25)X2</t>
  </si>
  <si>
    <t>(73,76+38,25)</t>
  </si>
  <si>
    <t>21.15.2</t>
  </si>
  <si>
    <t>MASSA ÚNICA TRAÇO 1:4 - MURO</t>
  </si>
  <si>
    <t>21.15.4</t>
  </si>
  <si>
    <t>SELADOR ACRÍLICO 1 DEMÃO- MURO</t>
  </si>
  <si>
    <t>21.15.5</t>
  </si>
  <si>
    <t>PINTURA COM TINTA LÁTEX ACRÍLICA 02 DEMÃOS - MURO</t>
  </si>
  <si>
    <t>21.16</t>
  </si>
  <si>
    <t>PAINEL DE MADEIRA SOBRE ESTRUTURA METÁLICA</t>
  </si>
  <si>
    <t>Ver projeto específico</t>
  </si>
  <si>
    <t>4,23+5,33</t>
  </si>
  <si>
    <t>Ver detalhamento específico</t>
  </si>
  <si>
    <t>21.17</t>
  </si>
  <si>
    <t>LIMPEZA FINAL DA OBRA</t>
  </si>
  <si>
    <t>22.1</t>
  </si>
  <si>
    <t>LIMPEZA ÁREA INTERNA</t>
  </si>
  <si>
    <t>Área total de piso.</t>
  </si>
  <si>
    <t>DML, Banheiro PNE Feminino, Banheiro PNE Masc.</t>
  </si>
  <si>
    <t>Depósito, Administração, Depósito 02, Situação, Recepção, Hall interno</t>
  </si>
  <si>
    <t>34,87+72,37+10,55+19,64+20,00+10,61</t>
  </si>
  <si>
    <t>22.2</t>
  </si>
  <si>
    <t>LIMPEZA CALÇADAS</t>
  </si>
  <si>
    <t>Caçadas do interior do terreno</t>
  </si>
  <si>
    <t>31,95+13,70+66,73</t>
  </si>
  <si>
    <t>Caçadas Rua 24-A e Rua 09</t>
  </si>
  <si>
    <t>QUANTITATIVO DO MURO DA SEMA DUDS CONFRESA - R00</t>
  </si>
  <si>
    <t>MURETA COM BLOCO DE CONCRETO 14X19X39</t>
  </si>
  <si>
    <t>TELA GRADIL H=2,08M</t>
  </si>
  <si>
    <t>BLOCO DE FUNDAÇÃO</t>
  </si>
  <si>
    <t>ESTACAS DE FUNDAÇÃO D=20CM</t>
  </si>
  <si>
    <t>M</t>
  </si>
  <si>
    <t>DIRETORIA DE UNIDADE DESCONCENTRADA DA SEMA.</t>
  </si>
  <si>
    <t>TANGARÁ DA SERRA - MT</t>
  </si>
  <si>
    <t>RUA 24-A</t>
  </si>
  <si>
    <t>Memória de Cálculo de Quantificação de Materiais e Serviços para execução da Fossa Séptica e Filtro Anaeróbio Conjugado em bloco de concreto</t>
  </si>
  <si>
    <t>Dimensões</t>
  </si>
  <si>
    <t>Memória</t>
  </si>
  <si>
    <t>Un</t>
  </si>
  <si>
    <t>Qtde</t>
  </si>
  <si>
    <t>Largura Interna (Li)</t>
  </si>
  <si>
    <t>Volume de escavação</t>
  </si>
  <si>
    <t>Lb*Cb*Pt</t>
  </si>
  <si>
    <t>Largura Externa (Le)</t>
  </si>
  <si>
    <t>Compactação</t>
  </si>
  <si>
    <t>Lb*Cb</t>
  </si>
  <si>
    <t>Comprimento Interno Fossa (CiFo) )</t>
  </si>
  <si>
    <t>Lona Plástica</t>
  </si>
  <si>
    <t>Comprimento Interno Filtro (CiFi)</t>
  </si>
  <si>
    <t>Malha de aço para a base</t>
  </si>
  <si>
    <t>Comprimento Externo (Ce)</t>
  </si>
  <si>
    <t>Concreto</t>
  </si>
  <si>
    <t>Base: Lb*Cb*Eb + Tampa: (Le*Ce*Et)</t>
  </si>
  <si>
    <t>Altura interna Total (Hit)</t>
  </si>
  <si>
    <t>Fôrma para laje de tampo</t>
  </si>
  <si>
    <t>Le*Ce</t>
  </si>
  <si>
    <t>Espessura da Base (Eb)</t>
  </si>
  <si>
    <t>Aço para tampa de concreto (70kg/m³)</t>
  </si>
  <si>
    <t>(Le*Ce*Et)*70</t>
  </si>
  <si>
    <t>kg</t>
  </si>
  <si>
    <t>Largura da Base (Lb)</t>
  </si>
  <si>
    <t>Alvenaria bloco 14cm</t>
  </si>
  <si>
    <t>[(Li*3)+(Ce*2)]*Hit</t>
  </si>
  <si>
    <t>Comprimento da Base (Cb)</t>
  </si>
  <si>
    <t>Reboco interno</t>
  </si>
  <si>
    <t>Paredes: [(Li*4)+(CiFo*2)+(CiFi*2)]*Hit + Fundo: (Li*(CiFo+CiFi)) + Chaminés: (pi*Dch*Hch*4)</t>
  </si>
  <si>
    <t>Espessura da Tampa (Et)</t>
  </si>
  <si>
    <t>Alvenaria para chaminés</t>
  </si>
  <si>
    <t>{[(Pi*(Dch+0,1)²)/4]*Hch} * (4unidades)</t>
  </si>
  <si>
    <t>Largura da Tampa (Lt)</t>
  </si>
  <si>
    <t>Tampa de caixa - CHAMINÉ - DN 0,60M - ESP=0,10M</t>
  </si>
  <si>
    <t>4 unidades de chaminés</t>
  </si>
  <si>
    <t>Comprimento da Tampa (Ct)</t>
  </si>
  <si>
    <t>Reaterro</t>
  </si>
  <si>
    <r>
      <rPr>
        <rFont val="Calibri"/>
        <b/>
        <color/>
        <sz val="11.0"/>
      </rPr>
      <t>Vol Escavado</t>
    </r>
    <r>
      <rPr>
        <rFont val="Calibri"/>
        <color/>
        <sz val="11.0"/>
      </rPr>
      <t xml:space="preserve">: (Lb*Cb*Pt) - </t>
    </r>
    <r>
      <rPr>
        <rFont val="Calibri"/>
        <b/>
        <color/>
        <sz val="11.0"/>
      </rPr>
      <t>Vol. Base</t>
    </r>
    <r>
      <rPr>
        <rFont val="Calibri"/>
        <color/>
        <sz val="11.0"/>
      </rPr>
      <t>: (Lb*Cb*Eb) -</t>
    </r>
    <r>
      <rPr>
        <rFont val="Calibri"/>
        <b/>
        <color/>
        <sz val="11.0"/>
      </rPr>
      <t>Vol. da Fossa e Filtro</t>
    </r>
    <r>
      <rPr>
        <rFont val="Calibri"/>
        <color/>
        <sz val="11.0"/>
      </rPr>
      <t xml:space="preserve">: (Le*Ce*(Hit+Et)) - </t>
    </r>
    <r>
      <rPr>
        <rFont val="Calibri"/>
        <b/>
        <color/>
        <sz val="11.0"/>
      </rPr>
      <t>Vol. Chaminés</t>
    </r>
    <r>
      <rPr>
        <rFont val="Calibri"/>
        <color/>
        <sz val="11.0"/>
      </rPr>
      <t>: {[(pi*(Dch+0,2)²)/4]*4}</t>
    </r>
  </si>
  <si>
    <t>Altura da Chaminé (Hch)</t>
  </si>
  <si>
    <t>Diâmetro Int. da Chaminé (Dch)</t>
  </si>
  <si>
    <t>Bota-Fora</t>
  </si>
  <si>
    <t>Vol. Escavado - Vol. de Reaterro</t>
  </si>
  <si>
    <t>Profundidade Total (Pt)</t>
  </si>
  <si>
    <t>Plantio de gramas</t>
  </si>
  <si>
    <t>ACRESCENTADO COM GRAMA JARDIM</t>
  </si>
  <si>
    <t>Altura Camada Filtrante (ACF)</t>
  </si>
  <si>
    <t>Viga prémoldada de concreto</t>
  </si>
  <si>
    <t>(3 peças de 10x10cm e comprimento de 1,70m)</t>
  </si>
  <si>
    <t>Leito filtrante</t>
  </si>
  <si>
    <t>Li*CiFi*ACF</t>
  </si>
  <si>
    <t>DRENO FRANCÊS</t>
  </si>
  <si>
    <t>Memória de Cálculo de Quantificação de Materiais e Serviços para execução do Sumidouro</t>
  </si>
  <si>
    <t>Diâmetro Interno do Sumidouro (DIs)</t>
  </si>
  <si>
    <t>[(pi*(DIs+0,2)²)/4]*[Pts]</t>
  </si>
  <si>
    <t>Diâmtero Externo do Sumidouro (DEs)</t>
  </si>
  <si>
    <t>Forma para baldrame e cinta (seção 20x20)</t>
  </si>
  <si>
    <t>{[pi()*(DIs+0,2)]*(0,2*3)}*2</t>
  </si>
  <si>
    <t>Altura Interna Sumidouro (His)</t>
  </si>
  <si>
    <t>Forma para laje de tampo</t>
  </si>
  <si>
    <t>[(pi*(DIs+0,4)²)/4]</t>
  </si>
  <si>
    <t>Espessura da Tampa do Sumidouro (Ets)</t>
  </si>
  <si>
    <t>Concreto para baldrame, cinta e tampa (seção 20x20)</t>
  </si>
  <si>
    <t>Vigas: {[pi()*(DIs+0,2)]*(0,2*0,2)}*2 + Laje: [(pi*(DIs+0,4)²)/4]*[Ets]</t>
  </si>
  <si>
    <t>Altura da Chaminé (Hcs)</t>
  </si>
  <si>
    <t>Tijolo cerâmico maciço comum</t>
  </si>
  <si>
    <t>Adaptado da composição sinapi 98079 (4466 tijolos/25m²)*[(pi*(DIs+0,2)²)/4]*His</t>
  </si>
  <si>
    <t>Diâmetro Int. da Chaminé do Sum. (Dcs)</t>
  </si>
  <si>
    <t>Argamassa para assentar tijolos</t>
  </si>
  <si>
    <t>Adaptado da composição sinapi 98079 (1,72m³/4466 tijolos)*Qtde de tijolos</t>
  </si>
  <si>
    <t>Profund. Total do Sumidouro (Pts)</t>
  </si>
  <si>
    <t>{[(PI*(DIs+0,4)^2)/4]*Ets}*70</t>
  </si>
  <si>
    <t>Chaminé: (pi*Dcs*Hcs)</t>
  </si>
  <si>
    <r>
      <rPr>
        <rFont val="Calibri"/>
        <color/>
        <sz val="11.0"/>
      </rPr>
      <t xml:space="preserve">Perímetro = 2 </t>
    </r>
    <r>
      <rPr>
        <rFont val="Calibri"/>
        <color/>
        <sz val="11.0"/>
      </rPr>
      <t>π R = 2*3,14*0,90 = 5,65m</t>
    </r>
  </si>
  <si>
    <t>{[(Pi*(Dcs+0,1)²)/4]*Hcs}</t>
  </si>
  <si>
    <t>Área = 5,65*2,40 = 13,56 m²</t>
  </si>
  <si>
    <t>Tampa de caixa</t>
  </si>
  <si>
    <t>1 unidade de chaminé</t>
  </si>
  <si>
    <t>ALVENARIA PAREDES = 13,56 m²</t>
  </si>
  <si>
    <t>Pedreiro</t>
  </si>
  <si>
    <t>Adaptado da composição sinapi 98079 (64,587h/4466 tijolos)*Qtde de tijolos</t>
  </si>
  <si>
    <t>Servente</t>
  </si>
  <si>
    <t>Brita para o fundo</t>
  </si>
  <si>
    <t>[(PI()*DIs^2)/4]*0,3</t>
  </si>
  <si>
    <r>
      <rPr>
        <rFont val="Arial"/>
        <color rgb="FFFF0000"/>
        <sz val="10.0"/>
      </rPr>
      <t xml:space="preserve">Adelmo Barros     </t>
    </r>
    <r>
      <rPr>
        <rFont val="Arial"/>
        <sz val="10.0"/>
      </rPr>
      <t xml:space="preserve">                                                                                                                                                                                                                                                                                                                                                                                                                                                                                                                                                                                                                                                                                                                                                                                                                                                                                                                                                                                                                                                                                                                                                                                                                                                                                                                                                                                                                                                                                                                                                                                                                                                                                                                                                                                                                                                                                                                                                        Engenheiro Sanitarista                                                                                                                                                                                                                                                                                                                                                                                                                                                                                                                                                                                                                                                                                                                                                                                                                                                                                                                                                                                                                                                                                                                                                                                                                                                                                                                                                                                                                                                                                                                                                                                                                                                                                                                                                                                                                                                                                                                                                                                                                                                                                                                                        CREA/MT:                </t>
    </r>
  </si>
  <si>
    <t>LISTA DE MATERIAIS - Hidráulico</t>
  </si>
  <si>
    <t>Aparelho</t>
  </si>
  <si>
    <t>UNIDADE</t>
  </si>
  <si>
    <t>Ducha higiênica 25MM X 1/2"</t>
  </si>
  <si>
    <t>Torneira de Pia de Cozinha 25 MM - 1/2"</t>
  </si>
  <si>
    <t>Torneira de lavatório 25MM - 1/2"</t>
  </si>
  <si>
    <t>Torneira de Tanque de Lavar 25MM X 3/4"</t>
  </si>
  <si>
    <t>Vaso sanitário p/ caixa de descarga 3/4"</t>
  </si>
  <si>
    <t>Vaso Sanitário p/ Válvula de Descarga de 1 1/2"-40MM-11/2"</t>
  </si>
  <si>
    <t>Metais</t>
  </si>
  <si>
    <t>Hidrômetro individual 5m³/h - 3/4"</t>
  </si>
  <si>
    <t>Registro de esfera 3/4"</t>
  </si>
  <si>
    <t>Registro de gaveta bruto ABNT 1 1/2"</t>
  </si>
  <si>
    <t xml:space="preserve">Registro de gaveta c/ canopla cromada 1 1/2" </t>
  </si>
  <si>
    <t>Registro de gaveta c/ canopla cromada  3/4"</t>
  </si>
  <si>
    <t>Válvula de descarga baixa pressão 11/2"</t>
  </si>
  <si>
    <t>PVC Acessórios</t>
  </si>
  <si>
    <t>Cx. de descarga s/ engate flexível - Branco - cinza - bege - caramelo</t>
  </si>
  <si>
    <t>Engate flexível plástico -1/2 - 30cm</t>
  </si>
  <si>
    <t>Tubo de descarga VDE. 38mm</t>
  </si>
  <si>
    <t>Tubo de descida de embutir p/ cx. Descarga 40"</t>
  </si>
  <si>
    <t>Tubo de ligação  latão cromado c/ canopla p/ vaso Sa. 38mm</t>
  </si>
  <si>
    <t>PVC misto soldável</t>
  </si>
  <si>
    <t>Colar de Tomada em PVC 3/4"</t>
  </si>
  <si>
    <t>Joelho 90 soldável c/ rosca 25 mm - 3/4"</t>
  </si>
  <si>
    <t xml:space="preserve">Joelho de redução soldável c/ rosca 25 mm - 1/2" </t>
  </si>
  <si>
    <t>Luva soldável c/ rosca 25 mm -3/4"</t>
  </si>
  <si>
    <t>PVC rígido roscável</t>
  </si>
  <si>
    <t>Tubete de polipropileno para hidrômetro 3/4"</t>
  </si>
  <si>
    <t>PVC rígido soldável</t>
  </si>
  <si>
    <t>Adapt sold. longo c/ flange p/cx. d' agua</t>
  </si>
  <si>
    <t xml:space="preserve">             20 mm - 1/2"</t>
  </si>
  <si>
    <t xml:space="preserve">           25 mm - 3/4"</t>
  </si>
  <si>
    <t xml:space="preserve">            50 mm- 1.1/2"</t>
  </si>
  <si>
    <t>Adapt sold.curto c/bolsa-rosca p registro</t>
  </si>
  <si>
    <t xml:space="preserve">                                             25 mm - 3/4"</t>
  </si>
  <si>
    <t xml:space="preserve">                                             50 mm- 1.1/2"</t>
  </si>
  <si>
    <t>Bucha de redução sold. Longa 50 mm - 25 mm</t>
  </si>
  <si>
    <t>Joelho 90º soldável</t>
  </si>
  <si>
    <t xml:space="preserve">                                                25 mm - 3/4"</t>
  </si>
  <si>
    <t xml:space="preserve">                                                50 mm- 1.1/2"</t>
  </si>
  <si>
    <t>Luva soldável</t>
  </si>
  <si>
    <t xml:space="preserve">                                              25 mm - 3/4"</t>
  </si>
  <si>
    <t xml:space="preserve">                                              50 mm- 1.1/2"</t>
  </si>
  <si>
    <t>Tubos</t>
  </si>
  <si>
    <t xml:space="preserve">                                             25 mm - 3/4"    -  metro</t>
  </si>
  <si>
    <t xml:space="preserve">                                             50 mm- 1.1/2"   -  metro</t>
  </si>
  <si>
    <t>Tê 90 soldável</t>
  </si>
  <si>
    <t>Tê de redução 90 soldável  50 mm - 25 mm</t>
  </si>
  <si>
    <t>PVC soldável azul c/ bucha latão</t>
  </si>
  <si>
    <t>Joelho 90º soldável com  bucha de latão  25 mm - 3/4"</t>
  </si>
  <si>
    <t>Joelho de redução 90º soldável com bucha de latão 3/4" - 1/2"</t>
  </si>
  <si>
    <t>Reservatório cilíndrico</t>
  </si>
  <si>
    <t>Cisterna 2000L</t>
  </si>
  <si>
    <t>LISTA DE MATERIAIS - Sanitário</t>
  </si>
  <si>
    <t>Caixas de Passagem</t>
  </si>
  <si>
    <t>Cx  Inspeção Sifon 60X60 cm</t>
  </si>
  <si>
    <t>CX GORDURA PVC 30 cm</t>
  </si>
  <si>
    <t>PVC Esgoto</t>
  </si>
  <si>
    <t>Joelho 45    -  100 mm</t>
  </si>
  <si>
    <t xml:space="preserve">                   -   50 mm</t>
  </si>
  <si>
    <t>Joelho 90   - 100 mm</t>
  </si>
  <si>
    <t xml:space="preserve">                   - 50 mm</t>
  </si>
  <si>
    <t xml:space="preserve">                    -75 mm</t>
  </si>
  <si>
    <t xml:space="preserve">                   - 40 mm</t>
  </si>
  <si>
    <t>Joelho 90 c/ anel  p/ esgoto sanit. - 40mm - 11/2"</t>
  </si>
  <si>
    <t>Junção simples</t>
  </si>
  <si>
    <t xml:space="preserve">                   -   100 mm - 50 mm</t>
  </si>
  <si>
    <t xml:space="preserve">                   -  100 mm - 100 mm</t>
  </si>
  <si>
    <t xml:space="preserve">                   -   50 mm  - 50 mm</t>
  </si>
  <si>
    <t>Terminal de ventilação</t>
  </si>
  <si>
    <t xml:space="preserve">                   - 75 mm</t>
  </si>
  <si>
    <t>Tubo rígido c/ ponta lisa - unidade em metro</t>
  </si>
  <si>
    <t xml:space="preserve">                  - 100 mm - 4"   - metro</t>
  </si>
  <si>
    <t xml:space="preserve">22.94 </t>
  </si>
  <si>
    <t xml:space="preserve">                                          - 40 mm          - metro</t>
  </si>
  <si>
    <t xml:space="preserve">9.72 </t>
  </si>
  <si>
    <t xml:space="preserve">                 - 50 mm - 2"    - metro</t>
  </si>
  <si>
    <t xml:space="preserve">29.38 </t>
  </si>
  <si>
    <t xml:space="preserve">                - 75 mm - 3"    - metro</t>
  </si>
  <si>
    <t xml:space="preserve">1.84 </t>
  </si>
  <si>
    <t>Tê sanitário</t>
  </si>
  <si>
    <t xml:space="preserve">                         - 100 mm - 75 mm</t>
  </si>
  <si>
    <t xml:space="preserve">                         - 50 mm - 50 mm</t>
  </si>
  <si>
    <t>Caixa sifonada</t>
  </si>
  <si>
    <t xml:space="preserve">                        - 100x100x50</t>
  </si>
  <si>
    <t xml:space="preserve">                        - 150x150x50R</t>
  </si>
  <si>
    <t>Bolsa de ligação p/ vaso sanitário - 11/2"</t>
  </si>
  <si>
    <t>Sifão de copo p/ pia e lavatório</t>
  </si>
  <si>
    <t xml:space="preserve">                          - 1" - 1.1/2"</t>
  </si>
  <si>
    <t xml:space="preserve">                          - 1" - 2"</t>
  </si>
  <si>
    <t>Válvula p/ lavatório e tanque - 1"</t>
  </si>
  <si>
    <t>Válvula p/ pia - 1"</t>
  </si>
  <si>
    <t xml:space="preserve">Adelmo Barros                                                                                                                                                                                                                                                                                                                                                                                                                                                                                                                                                                                                                                                                                                                                                                                                                                                                                                                                                                                                                                                                                                                                                                                                                                                                                                                                                                                                                                                                                                                                                                                                                                                                                                                                                                                                                                                                                                                                                             Engenheiro Sanitarista                                                                                                                                                                                                                                                                                                                                                                                                                                                                                                                                                                                                                                                                                                                                                                                                                                                                                                                                                                                                                                                                                                                                                                                                                                                                                                                                                                                                                                                                                                                                                                                                                                                                                                                                                                                                                                                                                                                                                                                                                                                                                                                                        CREA/MT:                </t>
  </si>
</sst>
</file>

<file path=xl/styles.xml><?xml version="1.0" encoding="utf-8"?>
<styleSheet xmlns="http://schemas.openxmlformats.org/spreadsheetml/2006/main" xmlns:x14ac="http://schemas.microsoft.com/office/spreadsheetml/2009/9/ac" xmlns:mc="http://schemas.openxmlformats.org/markup-compatibility/2006">
  <numFmts count="19">
    <numFmt numFmtId="164" formatCode="dd/mm/yy"/>
    <numFmt numFmtId="165" formatCode="_-* #,##0.00_-;\-* #,##0.00_-;_-* &quot;-&quot;??_-;_-@"/>
    <numFmt numFmtId="166" formatCode="000"/>
    <numFmt numFmtId="167" formatCode="_(* #,##0.00_);_(* \(#,##0.00\);_(* &quot;-&quot;??_);_(@_)"/>
    <numFmt numFmtId="168" formatCode="0.0000"/>
    <numFmt numFmtId="169" formatCode="#,##0.00;[Red]#,##0.00"/>
    <numFmt numFmtId="170" formatCode="#,##0.000"/>
    <numFmt numFmtId="171" formatCode="&quot;R$&quot;\ #,##0.00"/>
    <numFmt numFmtId="172" formatCode="#,##0.0000;[Red]#,##0.0000"/>
    <numFmt numFmtId="173" formatCode="0.00;[Red]0.00"/>
    <numFmt numFmtId="174" formatCode="#,##0.000000;[Red]#,##0.000000"/>
    <numFmt numFmtId="175" formatCode="#,##0.00000;[Red]#,##0.00000"/>
    <numFmt numFmtId="176" formatCode="#,##0.000;[Red]#,##0.000"/>
    <numFmt numFmtId="177" formatCode="#,##0.0000000;[Red]#,##0.0000000"/>
    <numFmt numFmtId="178" formatCode="0.00000"/>
    <numFmt numFmtId="179" formatCode="0.000"/>
    <numFmt numFmtId="180" formatCode="#,##0.00000"/>
    <numFmt numFmtId="181" formatCode="#,##0;[Red]#,##0"/>
    <numFmt numFmtId="182" formatCode="0.00&quot;m&quot;"/>
  </numFmts>
  <fonts count="86">
    <font>
      <sz val="11.0"/>
      <color/>
      <name val="Arial"/>
      <scheme val="minor"/>
    </font>
    <font>
      <b/>
      <sz val="18.0"/>
      <name val="Arial"/>
    </font>
    <font>
      <sz val="18.0"/>
      <name val="Arial"/>
    </font>
    <font>
      <sz val="11.0"/>
      <color/>
      <name val="Calibri"/>
    </font>
    <font>
      <b/>
      <sz val="26.0"/>
      <name val="Arial"/>
    </font>
    <font>
      <b/>
      <sz val="12.0"/>
      <color/>
      <name val="Arial"/>
    </font>
    <font>
      <b/>
      <sz val="24.0"/>
      <name val="Arial"/>
    </font>
    <font>
      <b/>
      <sz val="20.0"/>
      <name val="Arial"/>
    </font>
    <font>
      <b/>
      <sz val="12.0"/>
      <name val="Arial"/>
    </font>
    <font>
      <sz val="12.0"/>
      <name val="Arial"/>
    </font>
    <font/>
    <font>
      <sz val="11.0"/>
      <color/>
      <name val="Arial"/>
    </font>
    <font>
      <sz val="26.0"/>
      <name val="Arial"/>
    </font>
    <font>
      <b/>
      <sz val="11.0"/>
      <color/>
      <name val="Arial"/>
    </font>
    <font>
      <sz val="22.0"/>
      <name val="Arial"/>
    </font>
    <font>
      <b/>
      <sz val="11.0"/>
      <name val="Arial"/>
    </font>
    <font>
      <b/>
      <sz val="22.0"/>
      <name val="Arial"/>
    </font>
    <font>
      <sz val="11.0"/>
      <name val="Arial"/>
    </font>
    <font>
      <sz val="9.0"/>
      <name val="Arial"/>
    </font>
    <font>
      <sz val="10.0"/>
      <name val="Arial"/>
    </font>
    <font>
      <sz val="14.0"/>
      <name val="Arial"/>
    </font>
    <font>
      <b/>
      <sz val="9.0"/>
      <color rgb="FFFF0000"/>
      <name val="Arial"/>
    </font>
    <font>
      <sz val="12.0"/>
      <color rgb="FFFF0000"/>
      <name val="Arial"/>
    </font>
    <font>
      <sz val="12.0"/>
      <color rgb="FF000000"/>
      <name val="Arial"/>
    </font>
    <font>
      <sz val="10.0"/>
      <color/>
      <name val="Calibri"/>
    </font>
    <font>
      <b/>
      <sz val="10.0"/>
      <name val="Arial"/>
    </font>
    <font>
      <sz val="9.0"/>
      <color/>
      <name val="Arial"/>
    </font>
    <font>
      <b/>
      <sz val="14.0"/>
      <color rgb="FFFF0000"/>
      <name val="Calibri"/>
    </font>
    <font>
      <sz val="10.0"/>
      <color/>
      <name val="Arial"/>
    </font>
    <font>
      <sz val="10.0"/>
      <name val="Calibri"/>
    </font>
    <font>
      <sz val="11.0"/>
      <name val="Calibri"/>
    </font>
    <font>
      <sz val="9.0"/>
      <color/>
      <name val="Calibri"/>
    </font>
    <font>
      <sz val="11.0"/>
      <color rgb="FF333333"/>
      <name val="Arial"/>
    </font>
    <font>
      <b/>
      <sz val="11.0"/>
      <color rgb="FFFF0000"/>
      <name val="Calibri"/>
    </font>
    <font>
      <b/>
      <sz val="10.0"/>
      <color rgb="FFFF0000"/>
      <name val="Calibri"/>
    </font>
    <font>
      <sz val="10.0"/>
      <color rgb="FFFF0000"/>
      <name val="Calibri"/>
    </font>
    <font>
      <sz val="10.0"/>
      <color rgb="FFFF0000"/>
      <name val="Arial"/>
    </font>
    <font>
      <sz val="11.0"/>
      <color rgb="FFFF0000"/>
      <name val="Arial"/>
    </font>
    <font>
      <sz val="11.0"/>
      <color rgb="FFFF0000"/>
      <name val="Calibri"/>
    </font>
    <font>
      <sz val="12.0"/>
      <name val="Calibri"/>
    </font>
    <font>
      <sz val="12.0"/>
      <color rgb="FFFF0000"/>
      <name val="Calibri"/>
    </font>
    <font>
      <b/>
      <sz val="11.0"/>
      <color rgb="FFFF0000"/>
      <name val="Arial"/>
    </font>
    <font>
      <sz val="12.0"/>
      <color/>
      <name val="Arial"/>
    </font>
    <font>
      <sz val="11.0"/>
      <color rgb="FF000000"/>
      <name val="Arial"/>
    </font>
    <font>
      <b/>
      <sz val="12.0"/>
      <name val="Calibri"/>
    </font>
    <font>
      <sz val="9.0"/>
      <color rgb="FF663D14"/>
      <name val="Arial"/>
    </font>
    <font>
      <sz val="9.0"/>
      <color rgb="FF333333"/>
      <name val="Arial"/>
    </font>
    <font>
      <b/>
      <sz val="10.0"/>
      <color/>
      <name val="Arial"/>
    </font>
    <font>
      <b/>
      <sz val="12.0"/>
      <color rgb="FFFF0000"/>
      <name val="Arial"/>
    </font>
    <font>
      <b/>
      <sz val="14.0"/>
      <name val="Arial"/>
    </font>
    <font>
      <b/>
      <sz val="12.0"/>
      <color rgb="FF000000"/>
      <name val="Arial"/>
    </font>
    <font>
      <b/>
      <sz val="11.0"/>
      <color/>
      <name val="Calibri"/>
    </font>
    <font>
      <b/>
      <sz val="10.0"/>
      <color rgb="FFFF0000"/>
      <name val="Arial"/>
    </font>
    <font>
      <b/>
      <sz val="11.0"/>
      <color rgb="FF000000"/>
      <name val="Arial"/>
    </font>
    <font>
      <b/>
      <sz val="12.0"/>
      <color rgb="FFFF0000"/>
      <name val="Calibri"/>
    </font>
    <font>
      <b/>
      <sz val="14.0"/>
      <color rgb="FFFF0000"/>
      <name val="Arial"/>
    </font>
    <font>
      <sz val="10.0"/>
      <color rgb="FF000000"/>
      <name val="Arial"/>
    </font>
    <font>
      <b/>
      <sz val="9.0"/>
      <color rgb="FFFF0000"/>
      <name val="Calibri"/>
    </font>
    <font>
      <b/>
      <sz val="10.0"/>
      <color rgb="FF333333"/>
      <name val="Arial"/>
    </font>
    <font>
      <u/>
      <sz val="11.0"/>
      <color/>
      <name val="Calibri"/>
    </font>
    <font>
      <b/>
      <sz val="12.0"/>
      <color/>
      <name val="Calibri"/>
    </font>
    <font>
      <sz val="8.0"/>
      <color/>
      <name val="Arial"/>
    </font>
    <font>
      <u/>
      <sz val="10.0"/>
      <color/>
      <name val="Arial"/>
    </font>
    <font>
      <u/>
      <sz val="9.0"/>
      <color/>
      <name val="Arial"/>
    </font>
    <font>
      <u/>
      <sz val="9.0"/>
      <color/>
      <name val="Arial"/>
    </font>
    <font>
      <u/>
      <sz val="9.0"/>
      <color/>
      <name val="Calibri"/>
    </font>
    <font>
      <sz val="10.0"/>
      <color rgb="FF333333"/>
      <name val="Arial"/>
    </font>
    <font>
      <b/>
      <sz val="9.0"/>
      <name val="Arial"/>
    </font>
    <font>
      <sz val="8.0"/>
      <color rgb="FF000000"/>
      <name val="Courier"/>
    </font>
    <font>
      <sz val="8.0"/>
      <color rgb="FFFF0000"/>
      <name val="Courier"/>
    </font>
    <font>
      <b/>
      <sz val="11.0"/>
      <name val="Times New Roman"/>
    </font>
    <font>
      <b/>
      <sz val="12.0"/>
      <name val="Times New Roman"/>
    </font>
    <font>
      <b/>
      <sz val="10.0"/>
      <name val="Times New Roman"/>
    </font>
    <font>
      <sz val="8.0"/>
      <name val="Arial"/>
    </font>
    <font>
      <sz val="12.0"/>
      <name val="Apple chancery"/>
    </font>
    <font>
      <sz val="20.0"/>
      <color/>
      <name val="Calibri"/>
    </font>
    <font>
      <b/>
      <sz val="13.0"/>
      <color/>
      <name val="Calibri"/>
    </font>
    <font>
      <sz val="13.0"/>
      <color/>
      <name val="Calibri"/>
    </font>
    <font>
      <b/>
      <sz val="14.0"/>
      <color rgb="FF000000"/>
      <name val="Arial"/>
    </font>
    <font>
      <b/>
      <sz val="12.0"/>
      <color rgb="FF000000"/>
      <name val="Calibri"/>
    </font>
    <font>
      <sz val="9.0"/>
      <color rgb="FF000000"/>
      <name val="Times New Roman"/>
    </font>
    <font>
      <sz val="9.0"/>
      <color rgb="FFFF0000"/>
      <name val="Arial"/>
    </font>
    <font>
      <b/>
      <sz val="9.0"/>
      <color/>
      <name val="Arial"/>
    </font>
    <font>
      <b/>
      <sz val="9.0"/>
      <color rgb="FFC0C0C0"/>
      <name val="Arial"/>
    </font>
    <font>
      <sz val="11.0"/>
      <color rgb="FF000000"/>
      <name val="Calibri"/>
    </font>
    <font>
      <b/>
      <sz val="10.0"/>
      <color/>
      <name val="Calibri"/>
    </font>
  </fonts>
  <fills count="17">
    <fill>
      <patternFill patternType="none"/>
    </fill>
    <fill>
      <patternFill patternType="lightGray"/>
    </fill>
    <fill>
      <patternFill patternType="solid">
        <fgColor rgb="FFFFFFFF"/>
        <bgColor rgb="FFFFFFFF"/>
      </patternFill>
    </fill>
    <fill>
      <patternFill patternType="solid">
        <fgColor rgb="FFC0C0C0"/>
        <bgColor rgb="FFC0C0C0"/>
      </patternFill>
    </fill>
    <fill>
      <patternFill patternType="solid">
        <fgColor rgb="FFFFFF00"/>
        <bgColor rgb="FFFFFF00"/>
      </patternFill>
    </fill>
    <fill>
      <patternFill patternType="solid">
        <fgColor rgb="FFDAEEF3"/>
        <bgColor rgb="FFDAEEF3"/>
      </patternFill>
    </fill>
    <fill>
      <patternFill patternType="solid">
        <fgColor rgb="FFBFBFBF"/>
        <bgColor rgb="FFBFBFBF"/>
      </patternFill>
    </fill>
    <fill>
      <patternFill patternType="solid">
        <fgColor rgb="FFB8CCE4"/>
        <bgColor rgb="FFB8CCE4"/>
      </patternFill>
    </fill>
    <fill>
      <patternFill patternType="solid">
        <fgColor rgb="FFDBE5F1"/>
        <bgColor rgb="FFDBE5F1"/>
      </patternFill>
    </fill>
    <fill>
      <patternFill patternType="solid">
        <fgColor rgb="FF00B050"/>
        <bgColor rgb="FF00B050"/>
      </patternFill>
    </fill>
    <fill>
      <patternFill patternType="solid">
        <fgColor rgb="FF92D050"/>
        <bgColor rgb="FF92D050"/>
      </patternFill>
    </fill>
    <fill>
      <patternFill patternType="solid">
        <fgColor rgb="FFD8D8D8"/>
        <bgColor rgb="FFD8D8D8"/>
      </patternFill>
    </fill>
    <fill>
      <patternFill patternType="solid">
        <fgColor rgb="FFD9D9D9"/>
        <bgColor rgb="FFD9D9D9"/>
      </patternFill>
    </fill>
    <fill>
      <patternFill patternType="solid">
        <fgColor rgb="FFFDE9D9"/>
        <bgColor rgb="FFFDE9D9"/>
      </patternFill>
    </fill>
    <fill>
      <patternFill patternType="solid">
        <fgColor rgb="FFFF0000"/>
        <bgColor rgb="FFFF0000"/>
      </patternFill>
    </fill>
    <fill>
      <patternFill patternType="solid">
        <fgColor rgb="FFF2F2F2"/>
        <bgColor rgb="FFF2F2F2"/>
      </patternFill>
    </fill>
    <fill>
      <patternFill patternType="solid">
        <fgColor rgb="FF00B0F0"/>
        <bgColor rgb="FF00B0F0"/>
      </patternFill>
    </fill>
  </fills>
  <borders count="161">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rder>
    <border>
      <right style="thin">
        <color rgb="FF000000"/>
      </right>
      <top style="medium">
        <color rgb="FF000000"/>
      </top>
    </border>
    <border>
      <left style="medium">
        <color rgb="FF000000"/>
      </left>
      <right style="thin">
        <color rgb="FF000000"/>
      </right>
    </border>
    <border>
      <left style="thin">
        <color rgb="FF000000"/>
      </left>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bottom style="medium">
        <color rgb="FF000000"/>
      </bottom>
    </border>
    <border>
      <top style="medium">
        <color rgb="FF000000"/>
      </top>
      <bottom style="thin">
        <color rgb="FF000000"/>
      </bottom>
    </border>
    <border>
      <bottom style="thin">
        <color rgb="FF000000"/>
      </bottom>
    </border>
    <border>
      <left style="medium">
        <color rgb="FF000000"/>
      </left>
      <right style="thin">
        <color rgb="FF000000"/>
      </right>
      <top style="thin">
        <color rgb="FF000000"/>
      </top>
    </border>
    <border>
      <left style="thin">
        <color rgb="FF000000"/>
      </left>
      <top style="thin">
        <color rgb="FF000000"/>
      </top>
    </border>
    <border>
      <left style="medium">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medium">
        <color rgb="FF000000"/>
      </right>
      <top style="medium">
        <color rgb="FF000000"/>
      </top>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style="thin">
        <color rgb="FF000000"/>
      </top>
      <bottom style="thin">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thin">
        <color rgb="FF000000"/>
      </right>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top style="medium">
        <color rgb="FF000000"/>
      </top>
      <bottom/>
    </border>
    <border>
      <left style="medium">
        <color rgb="FF000000"/>
      </left>
      <right/>
      <top style="thin">
        <color rgb="FF000000"/>
      </top>
      <bottom style="thin">
        <color rgb="FF000000"/>
      </bottom>
    </border>
    <border>
      <left style="thin">
        <color rgb="FF000000"/>
      </left>
      <right style="thin">
        <color rgb="FF000000"/>
      </right>
      <top style="thin">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right style="thin">
        <color rgb="FF000000"/>
      </right>
      <top style="thin">
        <color rgb="FF000000"/>
      </top>
    </border>
    <border>
      <left style="thin">
        <color rgb="FF000000"/>
      </left>
      <bottom style="medium">
        <color rgb="FF000000"/>
      </bottom>
    </border>
    <border>
      <top style="medium">
        <color rgb="FFDDDDDD"/>
      </top>
    </border>
    <border>
      <left style="thin">
        <color rgb="FF000000"/>
      </left>
      <right style="medium">
        <color rgb="FF000000"/>
      </right>
    </border>
    <border>
      <left style="hair">
        <color rgb="FF000000"/>
      </left>
    </border>
    <border>
      <left style="medium">
        <color rgb="FF000000"/>
      </left>
      <top style="thin">
        <color rgb="FF000000"/>
      </top>
    </border>
    <border>
      <left style="hair">
        <color rgb="FF000000"/>
      </left>
      <right style="hair">
        <color rgb="FF000000"/>
      </right>
      <top style="medium">
        <color rgb="FF000000"/>
      </top>
      <bottom/>
    </border>
    <border>
      <left style="thin">
        <color rgb="FF000000"/>
      </left>
      <right style="medium">
        <color rgb="FF000000"/>
      </right>
      <top/>
      <bottom style="thin">
        <color rgb="FF000000"/>
      </bottom>
    </border>
    <border>
      <left style="medium">
        <color rgb="FF000000"/>
      </left>
      <bottom style="thin">
        <color rgb="FF000000"/>
      </bottom>
    </border>
    <border>
      <left style="thin">
        <color rgb="FF000000"/>
      </left>
      <right/>
      <top style="medium">
        <color rgb="FF000000"/>
      </top>
      <bottom style="thin">
        <color rgb="FF000000"/>
      </bottom>
    </border>
    <border>
      <left/>
      <right style="thin">
        <color rgb="FF000000"/>
      </right>
      <top style="medium">
        <color rgb="FF000000"/>
      </top>
      <bottom/>
    </border>
    <border>
      <left style="thin">
        <color rgb="FF000000"/>
      </left>
      <right/>
      <top style="medium">
        <color rgb="FF000000"/>
      </top>
      <bottom/>
    </border>
    <border>
      <left style="medium">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style="medium">
        <color rgb="FF000000"/>
      </left>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top style="thin">
        <color rgb="FF000000"/>
      </top>
      <bottom style="thin">
        <color rgb="FF000000"/>
      </bottom>
    </border>
    <border>
      <left style="medium">
        <color rgb="FF000000"/>
      </left>
      <right style="thin">
        <color rgb="FF000000"/>
      </right>
      <top/>
      <bottom style="medium">
        <color rgb="FF000000"/>
      </bottom>
    </border>
    <border>
      <left style="thin">
        <color rgb="FF000000"/>
      </left>
      <top/>
      <bottom style="medium">
        <color rgb="FF000000"/>
      </bottom>
    </border>
    <border>
      <top/>
      <bottom style="medium">
        <color rgb="FF000000"/>
      </bottom>
    </border>
    <border>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border>
    <border>
      <right style="medium">
        <color rgb="FF000000"/>
      </right>
      <top style="thin">
        <color rgb="FF000000"/>
      </top>
    </border>
    <border>
      <top style="thin">
        <color rgb="FF000000"/>
      </top>
    </border>
    <border>
      <left/>
      <right/>
      <top style="medium">
        <color rgb="FF000000"/>
      </top>
      <bottom style="medium">
        <color rgb="FF000000"/>
      </bottom>
    </border>
    <border>
      <right/>
      <top style="thin">
        <color rgb="FF000000"/>
      </top>
      <bottom style="medium">
        <color rgb="FF000000"/>
      </bottom>
    </border>
    <border>
      <left style="thin">
        <color rgb="FF000000"/>
      </left>
      <top/>
      <bottom/>
    </border>
    <border>
      <top/>
      <bottom/>
    </border>
    <border>
      <right style="thin">
        <color rgb="FF000000"/>
      </right>
      <top/>
      <bottom/>
    </border>
    <border>
      <left style="thin">
        <color rgb="FF000000"/>
      </left>
      <top style="medium">
        <color rgb="FF000000"/>
      </top>
      <bottom/>
    </border>
    <border>
      <top style="medium">
        <color rgb="FF000000"/>
      </top>
      <bottom/>
    </border>
    <border>
      <right style="thin">
        <color rgb="FF000000"/>
      </right>
      <top style="medium">
        <color rgb="FF000000"/>
      </top>
      <bottom/>
    </border>
    <border>
      <left style="thin">
        <color rgb="FF000000"/>
      </left>
      <right style="thin">
        <color rgb="FF000000"/>
      </right>
      <top style="medium">
        <color rgb="FF000000"/>
      </top>
      <bottom style="medium">
        <color rgb="FF000000"/>
      </bottom>
    </border>
    <border>
      <right style="medium">
        <color rgb="FF000000"/>
      </right>
      <top style="medium">
        <color rgb="FF000000"/>
      </top>
      <bottom style="thin">
        <color rgb="FF000000"/>
      </bottom>
    </border>
    <border>
      <left/>
      <right/>
      <top style="thin">
        <color rgb="FF000000"/>
      </top>
      <bottom style="medium">
        <color rgb="FF000000"/>
      </bottom>
    </border>
    <border>
      <left/>
      <right/>
      <top style="thin">
        <color rgb="FF000000"/>
      </top>
      <bottom/>
    </border>
    <border>
      <right style="thin">
        <color rgb="FF000000"/>
      </right>
      <bottom style="medium">
        <color rgb="FF000000"/>
      </bottom>
    </border>
    <border>
      <right/>
      <top/>
      <bottom style="medium">
        <color rgb="FF000000"/>
      </bottom>
    </border>
    <border>
      <left/>
      <right/>
      <top style="medium">
        <color rgb="FF000000"/>
      </top>
      <bottom/>
    </border>
    <border>
      <left/>
      <right/>
      <top/>
      <bottom/>
    </border>
    <border>
      <left/>
      <right style="medium">
        <color rgb="FF000000"/>
      </right>
      <top style="medium">
        <color rgb="FF000000"/>
      </top>
      <bottom style="medium">
        <color rgb="FF000000"/>
      </bottom>
    </border>
    <border>
      <left style="medium">
        <color rgb="FF000000"/>
      </left>
      <right style="thin">
        <color rgb="FF000000"/>
      </right>
      <top style="thin">
        <color rgb="FF000000"/>
      </top>
      <bottom/>
    </border>
    <border>
      <left/>
      <right/>
      <top/>
      <bottom style="medium">
        <color rgb="FF000000"/>
      </bottom>
    </border>
    <border>
      <left/>
      <right style="medium">
        <color rgb="FF000000"/>
      </right>
      <top/>
      <bottom style="medium">
        <color rgb="FF000000"/>
      </bottom>
    </border>
    <border>
      <right style="medium">
        <color rgb="FF000000"/>
      </right>
      <top/>
      <bottom style="medium">
        <color rgb="FF000000"/>
      </bottom>
    </border>
    <border>
      <left style="thin">
        <color rgb="FF000000"/>
      </left>
      <top/>
      <bottom style="thin">
        <color rgb="FF000000"/>
      </bottom>
    </border>
    <border>
      <right style="thin">
        <color rgb="FF000000"/>
      </right>
      <top/>
      <bottom style="thin">
        <color rgb="FF000000"/>
      </bottom>
    </border>
    <border>
      <top/>
      <bottom style="thin">
        <color rgb="FF000000"/>
      </bottom>
    </border>
    <border>
      <right style="medium">
        <color rgb="FF000000"/>
      </right>
      <top/>
      <bottom style="thin">
        <color rgb="FF000000"/>
      </bottom>
    </border>
    <border>
      <left style="thin">
        <color rgb="FF000000"/>
      </left>
    </border>
    <border>
      <right style="medium">
        <color rgb="FF000000"/>
      </right>
      <bottom style="thin">
        <color rgb="FF000000"/>
      </bottom>
    </border>
    <border>
      <left style="medium">
        <color rgb="FF000000"/>
      </left>
      <right/>
      <top/>
      <bottom style="medium">
        <color rgb="FF000000"/>
      </bottom>
    </border>
    <border>
      <left style="thin">
        <color rgb="FF000000"/>
      </left>
      <right/>
      <top style="thin">
        <color rgb="FF000000"/>
      </top>
      <bottom style="medium">
        <color rgb="FF000000"/>
      </bottom>
    </border>
    <border>
      <left/>
      <right style="medium">
        <color rgb="FF000000"/>
      </right>
      <top style="thin">
        <color rgb="FF000000"/>
      </top>
      <bottom style="medium">
        <color rgb="FF000000"/>
      </bottom>
    </border>
    <border>
      <left/>
      <top style="thin">
        <color rgb="FF000000"/>
      </top>
      <bottom style="medium">
        <color rgb="FF000000"/>
      </bottom>
    </border>
    <border>
      <left style="thin">
        <color rgb="FF000000"/>
      </left>
      <top style="thin">
        <color rgb="FF000000"/>
      </top>
      <bottom/>
    </border>
    <border>
      <right style="medium">
        <color rgb="FF000000"/>
      </right>
      <top style="thin">
        <color rgb="FF000000"/>
      </top>
      <bottom/>
    </border>
    <border>
      <left style="medium">
        <color rgb="FF000000"/>
      </left>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thin">
        <color rgb="FF000000"/>
      </top>
    </border>
    <border>
      <left style="medium">
        <color rgb="FF000000"/>
      </left>
      <right style="medium">
        <color rgb="FF000000"/>
      </right>
      <top style="medium">
        <color rgb="FF000000"/>
      </top>
      <bottom/>
    </border>
    <border>
      <left style="medium">
        <color rgb="FF000000"/>
      </left>
      <right style="medium">
        <color rgb="FF000000"/>
      </right>
    </border>
    <border>
      <left style="medium">
        <color rgb="FF000000"/>
      </left>
      <right style="medium">
        <color rgb="FF000000"/>
      </right>
      <top/>
      <bottom/>
    </border>
    <border>
      <left style="medium">
        <color rgb="FF000000"/>
      </left>
      <right style="medium">
        <color rgb="FF000000"/>
      </right>
      <bottom style="medium">
        <color rgb="FF000000"/>
      </bottom>
    </border>
    <border>
      <left style="medium">
        <color rgb="FF000000"/>
      </left>
      <right style="medium">
        <color rgb="FF000000"/>
      </right>
      <top/>
      <bottom style="medium">
        <color rgb="FF000000"/>
      </bottom>
    </border>
    <border>
      <left/>
      <right style="medium">
        <color rgb="FF000000"/>
      </right>
      <top/>
      <bottom/>
    </border>
    <border>
      <left/>
      <top style="thin">
        <color rgb="FF000000"/>
      </top>
      <bottom style="thin">
        <color rgb="FF000000"/>
      </bottom>
    </border>
    <border>
      <left style="medium">
        <color rgb="FF000000"/>
      </left>
      <right/>
      <top/>
      <bottom/>
    </border>
    <border>
      <left style="thin">
        <color rgb="FF000000"/>
      </left>
      <right/>
      <top style="thin">
        <color rgb="FF000000"/>
      </top>
      <bottom/>
    </border>
    <border>
      <left/>
      <right style="medium">
        <color rgb="FF000000"/>
      </right>
      <top style="thin">
        <color rgb="FF000000"/>
      </top>
      <bottom/>
    </border>
    <border>
      <left style="medium">
        <color rgb="FF000000"/>
      </left>
      <top/>
      <bottom style="thin">
        <color rgb="FF000000"/>
      </bottom>
    </border>
    <border>
      <left/>
      <right style="thin">
        <color rgb="FF000000"/>
      </right>
      <top style="thin">
        <color rgb="FF000000"/>
      </top>
      <bottom style="medium">
        <color rgb="FF000000"/>
      </bottom>
    </border>
    <border>
      <left/>
      <right style="thin">
        <color rgb="FF000000"/>
      </right>
      <top style="thin">
        <color rgb="FF000000"/>
      </top>
      <bottom/>
    </border>
    <border>
      <left style="thin">
        <color rgb="FF000000"/>
      </left>
      <right style="medium">
        <color rgb="FF000000"/>
      </right>
      <top style="thin">
        <color rgb="FF000000"/>
      </top>
      <bottom/>
    </border>
    <border>
      <left/>
      <right/>
      <top style="thin">
        <color rgb="FF000000"/>
      </top>
      <bottom style="thin">
        <color rgb="FF000000"/>
      </bottom>
    </border>
    <border>
      <left style="medium">
        <color rgb="FF000000"/>
      </left>
      <right/>
      <top style="thin">
        <color rgb="FF000000"/>
      </top>
      <bottom/>
    </border>
    <border>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medium">
        <color rgb="FF000000"/>
      </top>
      <bottom style="medium">
        <color rgb="FF000000"/>
      </bottom>
    </border>
    <border>
      <left style="medium">
        <color rgb="FF000000"/>
      </left>
      <right style="medium">
        <color rgb="FF000000"/>
      </right>
      <bottom style="thin">
        <color rgb="FF000000"/>
      </bottom>
    </border>
    <border>
      <left style="medium">
        <color rgb="FF000000"/>
      </left>
      <top style="medium">
        <color rgb="FF000000"/>
      </top>
      <bottom/>
    </border>
    <border>
      <right style="medium">
        <color rgb="FF000000"/>
      </right>
      <top style="medium">
        <color rgb="FF000000"/>
      </top>
      <bottom/>
    </border>
    <border>
      <left/>
      <top/>
      <bottom/>
    </border>
    <border>
      <right/>
      <top/>
      <bottom/>
    </border>
  </borders>
  <cellStyleXfs count="1">
    <xf borderId="0" fillId="0" fontId="0" numFmtId="0" applyAlignment="1" applyFont="1"/>
  </cellStyleXfs>
  <cellXfs count="1755">
    <xf borderId="0" fillId="0" fontId="0" numFmtId="0" xfId="0" applyAlignment="1" applyFont="1">
      <alignment readingOrder="0" shrinkToFit="0" vertical="bottom" wrapText="0"/>
    </xf>
    <xf borderId="0" fillId="0" fontId="1" numFmtId="0" xfId="0" applyAlignment="1" applyFont="1">
      <alignment vertical="center"/>
    </xf>
    <xf borderId="0" fillId="0" fontId="1" numFmtId="0" xfId="0" applyAlignment="1" applyFont="1">
      <alignment horizontal="center" vertical="center"/>
    </xf>
    <xf borderId="0" fillId="0" fontId="2" numFmtId="0" xfId="0" applyAlignment="1" applyFont="1">
      <alignment horizontal="center" vertical="center"/>
    </xf>
    <xf borderId="0" fillId="0" fontId="3" numFmtId="0" xfId="0" applyAlignment="1" applyFont="1">
      <alignment vertical="center"/>
    </xf>
    <xf borderId="0" fillId="0" fontId="4" numFmtId="0" xfId="0" applyAlignment="1" applyFont="1">
      <alignment vertical="center"/>
    </xf>
    <xf borderId="0" fillId="0" fontId="5" numFmtId="0" xfId="0" applyAlignment="1" applyFont="1">
      <alignment horizontal="center" vertical="center"/>
    </xf>
    <xf borderId="0" fillId="0" fontId="5" numFmtId="0" xfId="0" applyAlignment="1" applyFont="1">
      <alignment vertical="center"/>
    </xf>
    <xf borderId="0" fillId="0" fontId="6" numFmtId="0" xfId="0" applyAlignment="1" applyFont="1">
      <alignment vertical="center"/>
    </xf>
    <xf borderId="0" fillId="0" fontId="7" numFmtId="0" xfId="0" applyAlignment="1" applyFont="1">
      <alignment vertical="center"/>
    </xf>
    <xf borderId="1" fillId="0" fontId="8" numFmtId="0" xfId="0" applyAlignment="1" applyBorder="1" applyFont="1">
      <alignment vertical="center"/>
    </xf>
    <xf borderId="2" fillId="0" fontId="9" numFmtId="0" xfId="0" applyAlignment="1" applyBorder="1" applyFont="1">
      <alignment shrinkToFit="0" vertical="center" wrapText="1"/>
    </xf>
    <xf borderId="2" fillId="0" fontId="3" numFmtId="0" xfId="0" applyAlignment="1" applyBorder="1" applyFont="1">
      <alignment shrinkToFit="0" vertical="center" wrapText="1"/>
    </xf>
    <xf borderId="3" fillId="0" fontId="9" numFmtId="0" xfId="0" applyAlignment="1" applyBorder="1" applyFont="1">
      <alignment vertical="center"/>
    </xf>
    <xf borderId="4" fillId="0" fontId="8" numFmtId="0" xfId="0" applyAlignment="1" applyBorder="1" applyFont="1">
      <alignment shrinkToFit="0" vertical="center" wrapText="1"/>
    </xf>
    <xf borderId="0" fillId="0" fontId="9" numFmtId="0" xfId="0" applyAlignment="1" applyFont="1">
      <alignment horizontal="left" shrinkToFit="0" vertical="center" wrapText="1"/>
    </xf>
    <xf borderId="5" fillId="0" fontId="8" numFmtId="10" xfId="0" applyAlignment="1" applyBorder="1" applyFont="1" applyNumberFormat="1">
      <alignment shrinkToFit="0" vertical="center" wrapText="1"/>
    </xf>
    <xf borderId="0" fillId="0" fontId="9" numFmtId="4" xfId="0" applyAlignment="1" applyFont="1" applyNumberFormat="1">
      <alignment horizontal="left" shrinkToFit="0" vertical="center" wrapText="1"/>
    </xf>
    <xf borderId="5" fillId="0" fontId="8" numFmtId="164" xfId="0" applyAlignment="1" applyBorder="1" applyFont="1" applyNumberFormat="1">
      <alignment shrinkToFit="0" vertical="center" wrapText="1"/>
    </xf>
    <xf borderId="6" fillId="0" fontId="8" numFmtId="0" xfId="0" applyAlignment="1" applyBorder="1" applyFont="1">
      <alignment shrinkToFit="0" vertical="center" wrapText="1"/>
    </xf>
    <xf borderId="7" fillId="0" fontId="9" numFmtId="0" xfId="0" applyAlignment="1" applyBorder="1" applyFont="1">
      <alignment horizontal="left" shrinkToFit="0" vertical="center" wrapText="1"/>
    </xf>
    <xf borderId="7" fillId="0" fontId="10" numFmtId="0" xfId="0" applyBorder="1" applyFont="1"/>
    <xf borderId="8" fillId="0" fontId="3" numFmtId="0" xfId="0" applyAlignment="1" applyBorder="1" applyFont="1">
      <alignment shrinkToFit="0" vertical="center" wrapText="1"/>
    </xf>
    <xf borderId="4" fillId="0" fontId="8" numFmtId="0" xfId="0" applyAlignment="1" applyBorder="1" applyFont="1">
      <alignment vertical="center"/>
    </xf>
    <xf borderId="0" fillId="0" fontId="9" numFmtId="0" xfId="0" applyAlignment="1" applyFont="1">
      <alignment vertical="center"/>
    </xf>
    <xf borderId="0" fillId="0" fontId="9" numFmtId="10" xfId="0" applyAlignment="1" applyFont="1" applyNumberFormat="1">
      <alignment vertical="center"/>
    </xf>
    <xf borderId="5" fillId="0" fontId="8" numFmtId="164" xfId="0" applyAlignment="1" applyBorder="1" applyFont="1" applyNumberFormat="1">
      <alignment horizontal="right" vertical="center"/>
    </xf>
    <xf borderId="9" fillId="0" fontId="8" numFmtId="0" xfId="0" applyAlignment="1" applyBorder="1" applyFont="1">
      <alignment horizontal="center" shrinkToFit="0" vertical="center" wrapText="1"/>
    </xf>
    <xf borderId="10" fillId="0" fontId="10" numFmtId="0" xfId="0" applyBorder="1" applyFont="1"/>
    <xf borderId="11" fillId="0" fontId="10" numFmtId="0" xfId="0" applyBorder="1" applyFont="1"/>
    <xf borderId="12" fillId="0" fontId="8" numFmtId="49" xfId="0" applyAlignment="1" applyBorder="1" applyFont="1" applyNumberFormat="1">
      <alignment horizontal="center" shrinkToFit="0" vertical="center" wrapText="1"/>
    </xf>
    <xf borderId="13" fillId="0" fontId="8" numFmtId="0" xfId="0" applyAlignment="1" applyBorder="1" applyFont="1">
      <alignment horizontal="center" vertical="center"/>
    </xf>
    <xf borderId="14" fillId="0" fontId="8" numFmtId="0" xfId="0" applyAlignment="1" applyBorder="1" applyFont="1">
      <alignment horizontal="center" vertical="center"/>
    </xf>
    <xf borderId="15" fillId="0" fontId="10" numFmtId="0" xfId="0" applyBorder="1" applyFont="1"/>
    <xf borderId="2" fillId="0" fontId="10" numFmtId="0" xfId="0" applyBorder="1" applyFont="1"/>
    <xf borderId="3" fillId="0" fontId="10" numFmtId="0" xfId="0" applyBorder="1" applyFont="1"/>
    <xf borderId="16" fillId="0" fontId="10" numFmtId="0" xfId="0" applyBorder="1" applyFont="1"/>
    <xf borderId="17" fillId="0" fontId="10" numFmtId="0" xfId="0" applyBorder="1" applyFont="1"/>
    <xf borderId="18" fillId="0" fontId="10" numFmtId="0" xfId="0" applyBorder="1" applyFont="1"/>
    <xf borderId="19" fillId="0" fontId="10" numFmtId="0" xfId="0" applyBorder="1" applyFont="1"/>
    <xf borderId="20" fillId="0" fontId="8" numFmtId="49" xfId="0" applyAlignment="1" applyBorder="1" applyFont="1" applyNumberFormat="1">
      <alignment horizontal="center" vertical="center"/>
    </xf>
    <xf borderId="21" fillId="0" fontId="10" numFmtId="0" xfId="0" applyBorder="1" applyFont="1"/>
    <xf borderId="22" fillId="0" fontId="8" numFmtId="0" xfId="0" applyAlignment="1" applyBorder="1" applyFont="1">
      <alignment horizontal="center" vertical="center"/>
    </xf>
    <xf borderId="23" fillId="0" fontId="10" numFmtId="0" xfId="0" applyBorder="1" applyFont="1"/>
    <xf borderId="24" fillId="0" fontId="10" numFmtId="0" xfId="0" applyBorder="1" applyFont="1"/>
    <xf borderId="25" fillId="0" fontId="9" numFmtId="165" xfId="0" applyAlignment="1" applyBorder="1" applyFont="1" applyNumberFormat="1">
      <alignment vertical="center"/>
    </xf>
    <xf borderId="25" fillId="0" fontId="9" numFmtId="0" xfId="0" applyAlignment="1" applyBorder="1" applyFont="1">
      <alignment horizontal="center" vertical="center"/>
    </xf>
    <xf borderId="25" fillId="0" fontId="9" numFmtId="165" xfId="0" applyAlignment="1" applyBorder="1" applyFont="1" applyNumberFormat="1">
      <alignment horizontal="center" vertical="center"/>
    </xf>
    <xf borderId="25" fillId="0" fontId="9" numFmtId="10" xfId="0" applyAlignment="1" applyBorder="1" applyFont="1" applyNumberFormat="1">
      <alignment horizontal="center" vertical="center"/>
    </xf>
    <xf borderId="26" fillId="0" fontId="9" numFmtId="2" xfId="0" applyAlignment="1" applyBorder="1" applyFont="1" applyNumberFormat="1">
      <alignment horizontal="center" vertical="center"/>
    </xf>
    <xf borderId="27" fillId="0" fontId="8" numFmtId="166" xfId="0" applyAlignment="1" applyBorder="1" applyFont="1" applyNumberFormat="1">
      <alignment horizontal="center" shrinkToFit="0" vertical="center" wrapText="1"/>
    </xf>
    <xf borderId="28" fillId="0" fontId="9" numFmtId="0" xfId="0" applyAlignment="1" applyBorder="1" applyFont="1">
      <alignment horizontal="left" vertical="center"/>
    </xf>
    <xf borderId="28" fillId="0" fontId="9" numFmtId="2" xfId="0" applyAlignment="1" applyBorder="1" applyFont="1" applyNumberFormat="1">
      <alignment horizontal="center" vertical="center"/>
    </xf>
    <xf borderId="28" fillId="0" fontId="9" numFmtId="4" xfId="0" applyAlignment="1" applyBorder="1" applyFont="1" applyNumberFormat="1">
      <alignment horizontal="center" vertical="center"/>
    </xf>
    <xf borderId="28" fillId="0" fontId="9" numFmtId="167" xfId="0" applyAlignment="1" applyBorder="1" applyFont="1" applyNumberFormat="1">
      <alignment horizontal="center" vertical="center"/>
    </xf>
    <xf borderId="28" fillId="0" fontId="9" numFmtId="10" xfId="0" applyAlignment="1" applyBorder="1" applyFont="1" applyNumberFormat="1">
      <alignment horizontal="center" vertical="center"/>
    </xf>
    <xf borderId="29" fillId="0" fontId="9" numFmtId="10" xfId="0" applyAlignment="1" applyBorder="1" applyFont="1" applyNumberFormat="1">
      <alignment vertical="center"/>
    </xf>
    <xf borderId="30" fillId="0" fontId="9" numFmtId="0" xfId="0" applyAlignment="1" applyBorder="1" applyFont="1">
      <alignment horizontal="left" shrinkToFit="0" vertical="center" wrapText="1"/>
    </xf>
    <xf borderId="30" fillId="0" fontId="9" numFmtId="4" xfId="0" applyAlignment="1" applyBorder="1" applyFont="1" applyNumberFormat="1">
      <alignment horizontal="center" vertical="center"/>
    </xf>
    <xf borderId="30" fillId="0" fontId="9" numFmtId="10" xfId="0" applyAlignment="1" applyBorder="1" applyFont="1" applyNumberFormat="1">
      <alignment horizontal="center" vertical="center"/>
    </xf>
    <xf borderId="28" fillId="0" fontId="9" numFmtId="0" xfId="0" applyAlignment="1" applyBorder="1" applyFont="1">
      <alignment horizontal="left" shrinkToFit="0" vertical="center" wrapText="1"/>
    </xf>
    <xf borderId="31" fillId="0" fontId="9" numFmtId="0" xfId="0" applyAlignment="1" applyBorder="1" applyFont="1">
      <alignment horizontal="center" vertical="center"/>
    </xf>
    <xf borderId="32" fillId="2" fontId="8" numFmtId="0" xfId="0" applyAlignment="1" applyBorder="1" applyFill="1" applyFont="1">
      <alignment horizontal="right" vertical="center"/>
    </xf>
    <xf borderId="32" fillId="0" fontId="8" numFmtId="167" xfId="0" applyAlignment="1" applyBorder="1" applyFont="1" applyNumberFormat="1">
      <alignment horizontal="center" vertical="center"/>
    </xf>
    <xf borderId="32" fillId="0" fontId="8" numFmtId="4" xfId="0" applyAlignment="1" applyBorder="1" applyFont="1" applyNumberFormat="1">
      <alignment horizontal="center" vertical="center"/>
    </xf>
    <xf borderId="32" fillId="0" fontId="8" numFmtId="10" xfId="0" applyAlignment="1" applyBorder="1" applyFont="1" applyNumberFormat="1">
      <alignment horizontal="center" vertical="center"/>
    </xf>
    <xf borderId="32" fillId="0" fontId="8" numFmtId="2" xfId="0" applyAlignment="1" applyBorder="1" applyFont="1" applyNumberFormat="1">
      <alignment horizontal="center" vertical="center"/>
    </xf>
    <xf borderId="33" fillId="0" fontId="8" numFmtId="10" xfId="0" applyAlignment="1" applyBorder="1" applyFont="1" applyNumberFormat="1">
      <alignment vertical="center"/>
    </xf>
    <xf borderId="34" fillId="0" fontId="9" numFmtId="0" xfId="0" applyAlignment="1" applyBorder="1" applyFont="1">
      <alignment horizontal="center" vertical="center"/>
    </xf>
    <xf borderId="25" fillId="2" fontId="8" numFmtId="0" xfId="0" applyAlignment="1" applyBorder="1" applyFont="1">
      <alignment horizontal="right" vertical="center"/>
    </xf>
    <xf borderId="25" fillId="0" fontId="9" numFmtId="167" xfId="0" applyAlignment="1" applyBorder="1" applyFont="1" applyNumberFormat="1">
      <alignment vertical="center"/>
    </xf>
    <xf borderId="25" fillId="0" fontId="9" numFmtId="4" xfId="0" applyAlignment="1" applyBorder="1" applyFont="1" applyNumberFormat="1">
      <alignment horizontal="center" vertical="center"/>
    </xf>
    <xf borderId="25" fillId="0" fontId="8" numFmtId="4" xfId="0" applyAlignment="1" applyBorder="1" applyFont="1" applyNumberFormat="1">
      <alignment horizontal="center" vertical="center"/>
    </xf>
    <xf borderId="25" fillId="0" fontId="8" numFmtId="10" xfId="0" applyAlignment="1" applyBorder="1" applyFont="1" applyNumberFormat="1">
      <alignment horizontal="center" vertical="center"/>
    </xf>
    <xf borderId="25" fillId="0" fontId="8" numFmtId="2" xfId="0" applyAlignment="1" applyBorder="1" applyFont="1" applyNumberFormat="1">
      <alignment horizontal="center" vertical="center"/>
    </xf>
    <xf borderId="35" fillId="0" fontId="9" numFmtId="0" xfId="0" applyAlignment="1" applyBorder="1" applyFont="1">
      <alignment vertical="center"/>
    </xf>
    <xf borderId="0" fillId="0" fontId="11" numFmtId="0" xfId="0" applyAlignment="1" applyFont="1">
      <alignment vertical="center"/>
    </xf>
    <xf borderId="0" fillId="0" fontId="6" numFmtId="0" xfId="0" applyAlignment="1" applyFont="1">
      <alignment horizontal="center" vertical="center"/>
    </xf>
    <xf borderId="0" fillId="0" fontId="11" numFmtId="0" xfId="0" applyAlignment="1" applyFont="1">
      <alignment shrinkToFit="0" vertical="center" wrapText="1"/>
    </xf>
    <xf borderId="0" fillId="0" fontId="11" numFmtId="168" xfId="0" applyAlignment="1" applyFont="1" applyNumberFormat="1">
      <alignment vertical="center"/>
    </xf>
    <xf borderId="0" fillId="0" fontId="12" numFmtId="0" xfId="0" applyAlignment="1" applyFont="1">
      <alignment vertical="center"/>
    </xf>
    <xf borderId="0" fillId="0" fontId="13" numFmtId="0" xfId="0" applyAlignment="1" applyFont="1">
      <alignment vertical="center"/>
    </xf>
    <xf borderId="0" fillId="0" fontId="13" numFmtId="0" xfId="0" applyAlignment="1" applyFont="1">
      <alignment horizontal="center" vertical="center"/>
    </xf>
    <xf borderId="0" fillId="0" fontId="14" numFmtId="0" xfId="0" applyAlignment="1" applyFont="1">
      <alignment vertical="center"/>
    </xf>
    <xf borderId="0" fillId="0" fontId="15" numFmtId="0" xfId="0" applyAlignment="1" applyFont="1">
      <alignment horizontal="center" shrinkToFit="0" vertical="center" wrapText="1"/>
    </xf>
    <xf borderId="0" fillId="0" fontId="14" numFmtId="0" xfId="0" applyAlignment="1" applyFont="1">
      <alignment shrinkToFit="0" vertical="center" wrapText="1"/>
    </xf>
    <xf borderId="0" fillId="0" fontId="16" numFmtId="0" xfId="0" applyAlignment="1" applyFont="1">
      <alignment horizontal="center" shrinkToFit="0" vertical="center" wrapText="1"/>
    </xf>
    <xf borderId="1" fillId="0" fontId="15" numFmtId="0" xfId="0" applyAlignment="1" applyBorder="1" applyFont="1">
      <alignment horizontal="left" vertical="center"/>
    </xf>
    <xf borderId="2" fillId="0" fontId="17" numFmtId="0" xfId="0" applyAlignment="1" applyBorder="1" applyFont="1">
      <alignment horizontal="left" shrinkToFit="0" vertical="center" wrapText="1"/>
    </xf>
    <xf borderId="2" fillId="0" fontId="15" numFmtId="0" xfId="0" applyAlignment="1" applyBorder="1" applyFont="1">
      <alignment horizontal="center" shrinkToFit="0" vertical="center" wrapText="1"/>
    </xf>
    <xf borderId="3" fillId="0" fontId="15" numFmtId="0" xfId="0" applyAlignment="1" applyBorder="1" applyFont="1">
      <alignment shrinkToFit="0" vertical="center" wrapText="1"/>
    </xf>
    <xf borderId="4" fillId="0" fontId="15" numFmtId="0" xfId="0" applyAlignment="1" applyBorder="1" applyFont="1">
      <alignment shrinkToFit="0" vertical="center" wrapText="1"/>
    </xf>
    <xf borderId="0" fillId="0" fontId="17" numFmtId="0" xfId="0" applyAlignment="1" applyFont="1">
      <alignment horizontal="left" shrinkToFit="0" vertical="center" wrapText="1"/>
    </xf>
    <xf borderId="0" fillId="0" fontId="15" numFmtId="4" xfId="0" applyAlignment="1" applyFont="1" applyNumberFormat="1">
      <alignment horizontal="right" vertical="center"/>
    </xf>
    <xf borderId="5" fillId="0" fontId="15" numFmtId="14" xfId="0" applyAlignment="1" applyBorder="1" applyFont="1" applyNumberFormat="1">
      <alignment horizontal="right" vertical="center"/>
    </xf>
    <xf borderId="0" fillId="0" fontId="17" numFmtId="0" xfId="0" applyAlignment="1" applyFont="1">
      <alignment shrinkToFit="0" vertical="center" wrapText="1"/>
    </xf>
    <xf borderId="5" fillId="0" fontId="15" numFmtId="164" xfId="0" applyAlignment="1" applyBorder="1" applyFont="1" applyNumberFormat="1">
      <alignment horizontal="right" vertical="center"/>
    </xf>
    <xf borderId="5" fillId="0" fontId="15" numFmtId="10" xfId="0" applyAlignment="1" applyBorder="1" applyFont="1" applyNumberFormat="1">
      <alignment horizontal="right" vertical="center"/>
    </xf>
    <xf borderId="6" fillId="0" fontId="15" numFmtId="0" xfId="0" applyAlignment="1" applyBorder="1" applyFont="1">
      <alignment shrinkToFit="0" vertical="center" wrapText="1"/>
    </xf>
    <xf borderId="7" fillId="0" fontId="17" numFmtId="0" xfId="0" applyAlignment="1" applyBorder="1" applyFont="1">
      <alignment shrinkToFit="0" vertical="center" wrapText="1"/>
    </xf>
    <xf borderId="7" fillId="0" fontId="8" numFmtId="4" xfId="0" applyAlignment="1" applyBorder="1" applyFont="1" applyNumberFormat="1">
      <alignment horizontal="right" vertical="center"/>
    </xf>
    <xf borderId="8" fillId="0" fontId="8" numFmtId="164" xfId="0" applyAlignment="1" applyBorder="1" applyFont="1" applyNumberFormat="1">
      <alignment horizontal="right" vertical="center"/>
    </xf>
    <xf borderId="0" fillId="0" fontId="9" numFmtId="0" xfId="0" applyAlignment="1" applyFont="1">
      <alignment shrinkToFit="0" vertical="center" wrapText="1"/>
    </xf>
    <xf borderId="0" fillId="0" fontId="8" numFmtId="0" xfId="0" applyAlignment="1" applyFont="1">
      <alignment horizontal="left" shrinkToFit="0" vertical="center" wrapText="1"/>
    </xf>
    <xf borderId="0" fillId="0" fontId="8" numFmtId="0" xfId="0" applyAlignment="1" applyFont="1">
      <alignment horizontal="center" shrinkToFit="0" vertical="center" wrapText="1"/>
    </xf>
    <xf borderId="31" fillId="0" fontId="8" numFmtId="0" xfId="0" applyAlignment="1" applyBorder="1" applyFont="1">
      <alignment horizontal="center" shrinkToFit="0" vertical="center" wrapText="1"/>
    </xf>
    <xf borderId="36" fillId="0" fontId="8" numFmtId="0" xfId="0" applyAlignment="1" applyBorder="1" applyFont="1">
      <alignment horizontal="center" shrinkToFit="0" vertical="center" wrapText="1"/>
    </xf>
    <xf borderId="36" fillId="0" fontId="10" numFmtId="0" xfId="0" applyBorder="1" applyFont="1"/>
    <xf borderId="32" fillId="0" fontId="8" numFmtId="4" xfId="0" applyAlignment="1" applyBorder="1" applyFont="1" applyNumberFormat="1">
      <alignment horizontal="center" shrinkToFit="0" vertical="center" wrapText="1"/>
    </xf>
    <xf borderId="33" fillId="0" fontId="8" numFmtId="4" xfId="0" applyAlignment="1" applyBorder="1" applyFont="1" applyNumberFormat="1">
      <alignment horizontal="center" shrinkToFit="0" vertical="center" wrapText="1"/>
    </xf>
    <xf borderId="27" fillId="0" fontId="15" numFmtId="166" xfId="0" applyAlignment="1" applyBorder="1" applyFont="1" applyNumberFormat="1">
      <alignment horizontal="center" vertical="center"/>
    </xf>
    <xf borderId="37" fillId="0" fontId="15" numFmtId="0" xfId="0" applyAlignment="1" applyBorder="1" applyFont="1">
      <alignment horizontal="left" shrinkToFit="0" vertical="center" wrapText="1"/>
    </xf>
    <xf borderId="28" fillId="0" fontId="8" numFmtId="4" xfId="0" applyAlignment="1" applyBorder="1" applyFont="1" applyNumberFormat="1">
      <alignment horizontal="right" vertical="center"/>
    </xf>
    <xf borderId="29" fillId="0" fontId="8" numFmtId="4" xfId="0" applyAlignment="1" applyBorder="1" applyFont="1" applyNumberFormat="1">
      <alignment horizontal="center" shrinkToFit="0" vertical="center" wrapText="1"/>
    </xf>
    <xf borderId="20" fillId="0" fontId="15" numFmtId="0" xfId="0" applyAlignment="1" applyBorder="1" applyFont="1">
      <alignment horizontal="left" shrinkToFit="0" vertical="center" wrapText="1"/>
    </xf>
    <xf borderId="38" fillId="0" fontId="15" numFmtId="166" xfId="0" applyAlignment="1" applyBorder="1" applyFont="1" applyNumberFormat="1">
      <alignment horizontal="center" vertical="center"/>
    </xf>
    <xf borderId="39" fillId="0" fontId="8" numFmtId="4" xfId="0" applyAlignment="1" applyBorder="1" applyFont="1" applyNumberFormat="1">
      <alignment horizontal="right" vertical="center"/>
    </xf>
    <xf borderId="40" fillId="2" fontId="15" numFmtId="0" xfId="0" applyAlignment="1" applyBorder="1" applyFont="1">
      <alignment horizontal="center" shrinkToFit="0" vertical="center" wrapText="1"/>
    </xf>
    <xf borderId="41" fillId="0" fontId="10" numFmtId="0" xfId="0" applyBorder="1" applyFont="1"/>
    <xf borderId="42" fillId="0" fontId="10" numFmtId="0" xfId="0" applyBorder="1" applyFont="1"/>
    <xf borderId="43" fillId="2" fontId="8" numFmtId="39" xfId="0" applyAlignment="1" applyBorder="1" applyFont="1" applyNumberFormat="1">
      <alignment horizontal="right" shrinkToFit="0" vertical="center" wrapText="1"/>
    </xf>
    <xf borderId="44" fillId="2" fontId="8" numFmtId="0" xfId="0" applyAlignment="1" applyBorder="1" applyFont="1">
      <alignment horizontal="left" shrinkToFit="0" vertical="center" wrapText="1"/>
    </xf>
    <xf borderId="43" fillId="2" fontId="8" numFmtId="0" xfId="0" applyAlignment="1" applyBorder="1" applyFont="1">
      <alignment horizontal="right" vertical="center"/>
    </xf>
    <xf borderId="20" fillId="0" fontId="8" numFmtId="4" xfId="0" applyAlignment="1" applyBorder="1" applyFont="1" applyNumberFormat="1">
      <alignment horizontal="left" shrinkToFit="0" vertical="center" wrapText="1"/>
    </xf>
    <xf borderId="45" fillId="0" fontId="10" numFmtId="0" xfId="0" applyBorder="1" applyFont="1"/>
    <xf borderId="46" fillId="0" fontId="17" numFmtId="0" xfId="0" applyAlignment="1" applyBorder="1" applyFont="1">
      <alignment shrinkToFit="0" vertical="center" wrapText="1"/>
    </xf>
    <xf borderId="47" fillId="0" fontId="17" numFmtId="4" xfId="0" applyAlignment="1" applyBorder="1" applyFont="1" applyNumberFormat="1">
      <alignment horizontal="center" shrinkToFit="0" vertical="center" wrapText="1"/>
    </xf>
    <xf borderId="47" fillId="0" fontId="10" numFmtId="0" xfId="0" applyBorder="1" applyFont="1"/>
    <xf borderId="48" fillId="0" fontId="10" numFmtId="0" xfId="0" applyBorder="1" applyFont="1"/>
    <xf borderId="0" fillId="0" fontId="18" numFmtId="0" xfId="0" applyAlignment="1" applyFont="1">
      <alignment horizontal="center" shrinkToFit="0" vertical="center" wrapText="1"/>
    </xf>
    <xf borderId="0" fillId="0" fontId="19" numFmtId="0" xfId="0" applyAlignment="1" applyFont="1">
      <alignment horizontal="center" shrinkToFit="0" vertical="center" wrapText="1"/>
    </xf>
    <xf borderId="0" fillId="0" fontId="19" numFmtId="0" xfId="0" applyAlignment="1" applyFont="1">
      <alignment shrinkToFit="0" vertical="center" wrapText="1"/>
    </xf>
    <xf borderId="0" fillId="0" fontId="20" numFmtId="0" xfId="0" applyAlignment="1" applyFont="1">
      <alignment shrinkToFit="0" vertical="center" wrapText="1"/>
    </xf>
    <xf borderId="1" fillId="0" fontId="15" numFmtId="0" xfId="0" applyAlignment="1" applyBorder="1" applyFont="1">
      <alignment horizontal="left" shrinkToFit="0" vertical="center" wrapText="1"/>
    </xf>
    <xf borderId="2" fillId="0" fontId="9" numFmtId="0" xfId="0" applyAlignment="1" applyBorder="1" applyFont="1">
      <alignment horizontal="center" shrinkToFit="0" vertical="center" wrapText="1"/>
    </xf>
    <xf borderId="2" fillId="0" fontId="9" numFmtId="2" xfId="0" applyAlignment="1" applyBorder="1" applyFont="1" applyNumberFormat="1">
      <alignment shrinkToFit="0" vertical="center" wrapText="1"/>
    </xf>
    <xf borderId="2" fillId="0" fontId="21" numFmtId="168" xfId="0" applyAlignment="1" applyBorder="1" applyFont="1" applyNumberFormat="1">
      <alignment vertical="center"/>
    </xf>
    <xf borderId="3" fillId="0" fontId="22" numFmtId="14" xfId="0" applyAlignment="1" applyBorder="1" applyFont="1" applyNumberFormat="1">
      <alignment shrinkToFit="0" vertical="center" wrapText="1"/>
    </xf>
    <xf borderId="0" fillId="0" fontId="3" numFmtId="165" xfId="0" applyFont="1" applyNumberFormat="1"/>
    <xf borderId="4" fillId="0" fontId="15" numFmtId="0" xfId="0" applyAlignment="1" applyBorder="1" applyFont="1">
      <alignment horizontal="left" shrinkToFit="0" vertical="center" wrapText="1"/>
    </xf>
    <xf borderId="0" fillId="0" fontId="9" numFmtId="0" xfId="0" applyAlignment="1" applyFont="1">
      <alignment horizontal="center" shrinkToFit="0" vertical="center" wrapText="1"/>
    </xf>
    <xf borderId="0" fillId="0" fontId="9" numFmtId="2" xfId="0" applyAlignment="1" applyFont="1" applyNumberFormat="1">
      <alignment shrinkToFit="0" vertical="center" wrapText="1"/>
    </xf>
    <xf borderId="0" fillId="0" fontId="21" numFmtId="168" xfId="0" applyAlignment="1" applyFont="1" applyNumberFormat="1">
      <alignment vertical="center"/>
    </xf>
    <xf borderId="5" fillId="0" fontId="22" numFmtId="10" xfId="0" applyAlignment="1" applyBorder="1" applyFont="1" applyNumberFormat="1">
      <alignment horizontal="right" shrinkToFit="0" vertical="center" wrapText="1"/>
    </xf>
    <xf borderId="0" fillId="0" fontId="15" numFmtId="0" xfId="0" applyAlignment="1" applyFont="1">
      <alignment shrinkToFit="0" vertical="center" wrapText="1"/>
    </xf>
    <xf borderId="5" fillId="0" fontId="17" numFmtId="10" xfId="0" applyAlignment="1" applyBorder="1" applyFont="1" applyNumberFormat="1">
      <alignment horizontal="right" shrinkToFit="0" vertical="center" wrapText="1"/>
    </xf>
    <xf borderId="0" fillId="0" fontId="15" numFmtId="168" xfId="0" applyAlignment="1" applyFont="1" applyNumberFormat="1">
      <alignment shrinkToFit="0" vertical="center" wrapText="1"/>
    </xf>
    <xf borderId="5" fillId="0" fontId="17" numFmtId="14" xfId="0" applyAlignment="1" applyBorder="1" applyFont="1" applyNumberFormat="1">
      <alignment horizontal="right" shrinkToFit="0" vertical="center" wrapText="1"/>
    </xf>
    <xf borderId="0" fillId="0" fontId="3" numFmtId="169" xfId="0" applyFont="1" applyNumberFormat="1"/>
    <xf borderId="6" fillId="0" fontId="15" numFmtId="0" xfId="0" applyAlignment="1" applyBorder="1" applyFont="1">
      <alignment horizontal="left" shrinkToFit="0" vertical="center" wrapText="1"/>
    </xf>
    <xf borderId="7" fillId="0" fontId="17" numFmtId="0" xfId="0" applyAlignment="1" applyBorder="1" applyFont="1">
      <alignment horizontal="left" vertical="center"/>
    </xf>
    <xf borderId="7" fillId="0" fontId="17" numFmtId="0" xfId="0" applyAlignment="1" applyBorder="1" applyFont="1">
      <alignment horizontal="center" vertical="center"/>
    </xf>
    <xf borderId="7" fillId="0" fontId="9" numFmtId="0" xfId="0" applyAlignment="1" applyBorder="1" applyFont="1">
      <alignment vertical="center"/>
    </xf>
    <xf borderId="7" fillId="0" fontId="9" numFmtId="2" xfId="0" applyAlignment="1" applyBorder="1" applyFont="1" applyNumberFormat="1">
      <alignment horizontal="right" shrinkToFit="0" vertical="center" wrapText="1"/>
    </xf>
    <xf borderId="7" fillId="0" fontId="9" numFmtId="0" xfId="0" applyAlignment="1" applyBorder="1" applyFont="1">
      <alignment horizontal="center" shrinkToFit="0" vertical="center" wrapText="1"/>
    </xf>
    <xf borderId="7" fillId="0" fontId="8" numFmtId="4" xfId="0" applyAlignment="1" applyBorder="1" applyFont="1" applyNumberFormat="1">
      <alignment horizontal="right" shrinkToFit="0" vertical="center" wrapText="1"/>
    </xf>
    <xf borderId="7" fillId="0" fontId="15" numFmtId="168" xfId="0" applyAlignment="1" applyBorder="1" applyFont="1" applyNumberFormat="1">
      <alignment shrinkToFit="0" vertical="center" wrapText="1"/>
    </xf>
    <xf borderId="8" fillId="0" fontId="17" numFmtId="0" xfId="0" applyAlignment="1" applyBorder="1" applyFont="1">
      <alignment horizontal="right" shrinkToFit="0" vertical="center" wrapText="1"/>
    </xf>
    <xf borderId="4" fillId="0" fontId="3" numFmtId="0" xfId="0" applyBorder="1" applyFont="1"/>
    <xf borderId="5" fillId="0" fontId="3" numFmtId="0" xfId="0" applyBorder="1" applyFont="1"/>
    <xf borderId="12" fillId="0" fontId="15" numFmtId="0" xfId="0" applyAlignment="1" applyBorder="1" applyFont="1">
      <alignment horizontal="center" vertical="center"/>
    </xf>
    <xf borderId="13" fillId="0" fontId="15" numFmtId="0" xfId="0" applyAlignment="1" applyBorder="1" applyFont="1">
      <alignment horizontal="center" shrinkToFit="0" vertical="center" wrapText="1"/>
    </xf>
    <xf borderId="14" fillId="0" fontId="15" numFmtId="0" xfId="0" applyAlignment="1" applyBorder="1" applyFont="1">
      <alignment horizontal="center" shrinkToFit="0" vertical="center" wrapText="1"/>
    </xf>
    <xf borderId="13" fillId="0" fontId="15" numFmtId="2" xfId="0" applyAlignment="1" applyBorder="1" applyFont="1" applyNumberFormat="1">
      <alignment horizontal="center" shrinkToFit="0" vertical="center" wrapText="1"/>
    </xf>
    <xf borderId="13" fillId="0" fontId="15" numFmtId="4" xfId="0" applyAlignment="1" applyBorder="1" applyFont="1" applyNumberFormat="1">
      <alignment horizontal="center" shrinkToFit="0" vertical="center" wrapText="1"/>
    </xf>
    <xf borderId="49" fillId="0" fontId="15" numFmtId="4" xfId="0" applyAlignment="1" applyBorder="1" applyFont="1" applyNumberFormat="1">
      <alignment horizontal="center" shrinkToFit="0" vertical="center" wrapText="1"/>
    </xf>
    <xf borderId="50" fillId="3" fontId="15" numFmtId="166" xfId="0" applyAlignment="1" applyBorder="1" applyFill="1" applyFont="1" applyNumberFormat="1">
      <alignment horizontal="center" vertical="center"/>
    </xf>
    <xf borderId="51" fillId="3" fontId="15" numFmtId="0" xfId="0" applyAlignment="1" applyBorder="1" applyFont="1">
      <alignment horizontal="center" vertical="center"/>
    </xf>
    <xf borderId="51" fillId="3" fontId="15" numFmtId="0" xfId="0" applyAlignment="1" applyBorder="1" applyFont="1">
      <alignment horizontal="left" shrinkToFit="0" vertical="center" wrapText="1"/>
    </xf>
    <xf borderId="51" fillId="3" fontId="15" numFmtId="0" xfId="0" applyAlignment="1" applyBorder="1" applyFont="1">
      <alignment horizontal="center" shrinkToFit="0" vertical="center" wrapText="1"/>
    </xf>
    <xf borderId="51" fillId="3" fontId="15" numFmtId="2" xfId="0" applyAlignment="1" applyBorder="1" applyFont="1" applyNumberFormat="1">
      <alignment horizontal="center" shrinkToFit="0" vertical="center" wrapText="1"/>
    </xf>
    <xf borderId="51" fillId="3" fontId="15" numFmtId="4" xfId="0" applyAlignment="1" applyBorder="1" applyFont="1" applyNumberFormat="1">
      <alignment horizontal="center" shrinkToFit="0" vertical="center" wrapText="1"/>
    </xf>
    <xf borderId="52" fillId="3" fontId="15" numFmtId="4" xfId="0" applyAlignment="1" applyBorder="1" applyFont="1" applyNumberFormat="1">
      <alignment horizontal="center" shrinkToFit="0" vertical="center" wrapText="1"/>
    </xf>
    <xf borderId="0" fillId="0" fontId="13" numFmtId="2" xfId="0" applyAlignment="1" applyFont="1" applyNumberFormat="1">
      <alignment horizontal="center" vertical="center"/>
    </xf>
    <xf borderId="53" fillId="0" fontId="17" numFmtId="0" xfId="0" applyAlignment="1" applyBorder="1" applyFont="1">
      <alignment horizontal="center" vertical="center"/>
    </xf>
    <xf borderId="30" fillId="0" fontId="19" numFmtId="0" xfId="0" applyAlignment="1" applyBorder="1" applyFont="1">
      <alignment horizontal="center" vertical="center"/>
    </xf>
    <xf borderId="30" fillId="0" fontId="17" numFmtId="0" xfId="0" applyAlignment="1" applyBorder="1" applyFont="1">
      <alignment horizontal="left" shrinkToFit="0" vertical="center" wrapText="1"/>
    </xf>
    <xf borderId="30" fillId="0" fontId="23" numFmtId="0" xfId="0" applyAlignment="1" applyBorder="1" applyFont="1">
      <alignment horizontal="center" vertical="center"/>
    </xf>
    <xf borderId="30" fillId="0" fontId="17" numFmtId="169" xfId="0" applyAlignment="1" applyBorder="1" applyFont="1" applyNumberFormat="1">
      <alignment horizontal="right" vertical="center"/>
    </xf>
    <xf borderId="30" fillId="0" fontId="17" numFmtId="4" xfId="0" applyAlignment="1" applyBorder="1" applyFont="1" applyNumberFormat="1">
      <alignment horizontal="right" shrinkToFit="0" vertical="center" wrapText="1"/>
    </xf>
    <xf borderId="30" fillId="4" fontId="17" numFmtId="169" xfId="0" applyAlignment="1" applyBorder="1" applyFill="1" applyFont="1" applyNumberFormat="1">
      <alignment horizontal="right" vertical="center"/>
    </xf>
    <xf borderId="30" fillId="0" fontId="17" numFmtId="4" xfId="0" applyAlignment="1" applyBorder="1" applyFont="1" applyNumberFormat="1">
      <alignment horizontal="right" vertical="center"/>
    </xf>
    <xf borderId="22" fillId="0" fontId="17" numFmtId="4" xfId="0" applyAlignment="1" applyBorder="1" applyFont="1" applyNumberFormat="1">
      <alignment horizontal="right" vertical="center"/>
    </xf>
    <xf borderId="0" fillId="0" fontId="19" numFmtId="2" xfId="0" applyAlignment="1" applyFont="1" applyNumberFormat="1">
      <alignment horizontal="center" vertical="center"/>
    </xf>
    <xf borderId="0" fillId="0" fontId="24" numFmtId="2" xfId="0" applyAlignment="1" applyFont="1" applyNumberFormat="1">
      <alignment horizontal="left" vertical="center"/>
    </xf>
    <xf borderId="34" fillId="0" fontId="17" numFmtId="0" xfId="0" applyAlignment="1" applyBorder="1" applyFont="1">
      <alignment horizontal="center" vertical="center"/>
    </xf>
    <xf borderId="54" fillId="0" fontId="17" numFmtId="0" xfId="0" applyAlignment="1" applyBorder="1" applyFont="1">
      <alignment horizontal="center" vertical="center"/>
    </xf>
    <xf borderId="55" fillId="0" fontId="17" numFmtId="0" xfId="0" applyAlignment="1" applyBorder="1" applyFont="1">
      <alignment horizontal="center" vertical="center"/>
    </xf>
    <xf borderId="25" fillId="0" fontId="17" numFmtId="0" xfId="0" applyAlignment="1" applyBorder="1" applyFont="1">
      <alignment horizontal="center" vertical="center"/>
    </xf>
    <xf borderId="25" fillId="0" fontId="17" numFmtId="2" xfId="0" applyAlignment="1" applyBorder="1" applyFont="1" applyNumberFormat="1">
      <alignment horizontal="right" vertical="center"/>
    </xf>
    <xf borderId="25" fillId="0" fontId="17" numFmtId="0" xfId="0" applyAlignment="1" applyBorder="1" applyFont="1">
      <alignment horizontal="right" vertical="center"/>
    </xf>
    <xf borderId="25" fillId="0" fontId="17" numFmtId="4" xfId="0" applyAlignment="1" applyBorder="1" applyFont="1" applyNumberFormat="1">
      <alignment horizontal="right" vertical="center"/>
    </xf>
    <xf borderId="25" fillId="0" fontId="25" numFmtId="10" xfId="0" applyAlignment="1" applyBorder="1" applyFont="1" applyNumberFormat="1">
      <alignment horizontal="right" vertical="center"/>
    </xf>
    <xf borderId="26" fillId="0" fontId="15" numFmtId="4" xfId="0" applyAlignment="1" applyBorder="1" applyFont="1" applyNumberFormat="1">
      <alignment horizontal="right" vertical="center"/>
    </xf>
    <xf borderId="0" fillId="0" fontId="24" numFmtId="0" xfId="0" applyAlignment="1" applyFont="1">
      <alignment horizontal="left" vertical="center"/>
    </xf>
    <xf borderId="51" fillId="3" fontId="15" numFmtId="2" xfId="0" applyAlignment="1" applyBorder="1" applyFont="1" applyNumberFormat="1">
      <alignment horizontal="right" shrinkToFit="0" vertical="center" wrapText="1"/>
    </xf>
    <xf borderId="51" fillId="3" fontId="15" numFmtId="0" xfId="0" applyAlignment="1" applyBorder="1" applyFont="1">
      <alignment horizontal="right" shrinkToFit="0" vertical="center" wrapText="1"/>
    </xf>
    <xf borderId="51" fillId="3" fontId="15" numFmtId="4" xfId="0" applyAlignment="1" applyBorder="1" applyFont="1" applyNumberFormat="1">
      <alignment horizontal="right" shrinkToFit="0" vertical="center" wrapText="1"/>
    </xf>
    <xf borderId="0" fillId="0" fontId="26" numFmtId="0" xfId="0" applyAlignment="1" applyFont="1">
      <alignment horizontal="left" vertical="center"/>
    </xf>
    <xf borderId="0" fillId="0" fontId="27" numFmtId="2" xfId="0" applyAlignment="1" applyFont="1" applyNumberFormat="1">
      <alignment horizontal="left" vertical="center"/>
    </xf>
    <xf borderId="30" fillId="0" fontId="17" numFmtId="0" xfId="0" applyAlignment="1" applyBorder="1" applyFont="1">
      <alignment horizontal="center" vertical="center"/>
    </xf>
    <xf borderId="30" fillId="4" fontId="17" numFmtId="2" xfId="0" applyAlignment="1" applyBorder="1" applyFont="1" applyNumberFormat="1">
      <alignment horizontal="right" shrinkToFit="0" vertical="center" wrapText="1"/>
    </xf>
    <xf borderId="0" fillId="0" fontId="19" numFmtId="2" xfId="0" applyAlignment="1" applyFont="1" applyNumberFormat="1">
      <alignment horizontal="center" shrinkToFit="0" vertical="center" wrapText="1"/>
    </xf>
    <xf borderId="0" fillId="0" fontId="19" numFmtId="2" xfId="0" applyAlignment="1" applyFont="1" applyNumberFormat="1">
      <alignment horizontal="left" shrinkToFit="0" vertical="center" wrapText="1"/>
    </xf>
    <xf borderId="0" fillId="0" fontId="3" numFmtId="0" xfId="0" applyAlignment="1" applyFont="1">
      <alignment horizontal="left" vertical="center"/>
    </xf>
    <xf borderId="20" fillId="0" fontId="19" numFmtId="2" xfId="0" applyAlignment="1" applyBorder="1" applyFont="1" applyNumberFormat="1">
      <alignment horizontal="left" shrinkToFit="0" vertical="center" wrapText="1"/>
    </xf>
    <xf borderId="0" fillId="0" fontId="28" numFmtId="0" xfId="0" applyAlignment="1" applyFont="1">
      <alignment horizontal="left" vertical="center"/>
    </xf>
    <xf borderId="56" fillId="0" fontId="17" numFmtId="0" xfId="0" applyAlignment="1" applyBorder="1" applyFont="1">
      <alignment horizontal="center" vertical="center"/>
    </xf>
    <xf borderId="0" fillId="0" fontId="11" numFmtId="0" xfId="0" applyAlignment="1" applyFont="1">
      <alignment horizontal="left" shrinkToFit="0" vertical="center" wrapText="1"/>
    </xf>
    <xf borderId="0" fillId="0" fontId="29" numFmtId="0" xfId="0" applyAlignment="1" applyFont="1">
      <alignment horizontal="left" vertical="center"/>
    </xf>
    <xf quotePrefix="1" borderId="30" fillId="0" fontId="17" numFmtId="0" xfId="0" applyAlignment="1" applyBorder="1" applyFont="1">
      <alignment horizontal="center" shrinkToFit="0" vertical="center" wrapText="1"/>
    </xf>
    <xf borderId="0" fillId="0" fontId="30" numFmtId="2" xfId="0" applyAlignment="1" applyFont="1" applyNumberFormat="1">
      <alignment horizontal="left" shrinkToFit="0" vertical="center" wrapText="1"/>
    </xf>
    <xf borderId="57" fillId="0" fontId="18" numFmtId="0" xfId="0" applyAlignment="1" applyBorder="1" applyFont="1">
      <alignment horizontal="center" vertical="center"/>
    </xf>
    <xf borderId="30" fillId="0" fontId="17" numFmtId="0" xfId="0" applyAlignment="1" applyBorder="1" applyFont="1">
      <alignment horizontal="left" shrinkToFit="0" vertical="center" wrapText="1"/>
    </xf>
    <xf borderId="0" fillId="0" fontId="19" numFmtId="2" xfId="0" applyAlignment="1" applyFont="1" applyNumberFormat="1">
      <alignment vertical="center"/>
    </xf>
    <xf borderId="0" fillId="0" fontId="19" numFmtId="2" xfId="0" applyAlignment="1" applyFont="1" applyNumberFormat="1">
      <alignment horizontal="left" vertical="center"/>
    </xf>
    <xf borderId="0" fillId="0" fontId="28" numFmtId="0" xfId="0" applyAlignment="1" applyFont="1">
      <alignment vertical="center"/>
    </xf>
    <xf borderId="57" fillId="0" fontId="17" numFmtId="0" xfId="0" applyAlignment="1" applyBorder="1" applyFont="1">
      <alignment horizontal="center" vertical="center"/>
    </xf>
    <xf borderId="0" fillId="0" fontId="24" numFmtId="2" xfId="0" applyAlignment="1" applyFont="1" applyNumberFormat="1">
      <alignment horizontal="right" vertical="center"/>
    </xf>
    <xf borderId="0" fillId="0" fontId="31" numFmtId="2" xfId="0" applyAlignment="1" applyFont="1" applyNumberFormat="1">
      <alignment horizontal="right" shrinkToFit="0" vertical="center" wrapText="1"/>
    </xf>
    <xf borderId="30" fillId="0" fontId="11" numFmtId="0" xfId="0" applyAlignment="1" applyBorder="1" applyFont="1">
      <alignment horizontal="left" shrinkToFit="0" vertical="center" wrapText="1"/>
    </xf>
    <xf borderId="30" fillId="0" fontId="32" numFmtId="0" xfId="0" applyAlignment="1" applyBorder="1" applyFont="1">
      <alignment horizontal="left" shrinkToFit="0" vertical="center" wrapText="1"/>
    </xf>
    <xf borderId="30" fillId="0" fontId="11" numFmtId="0" xfId="0" applyAlignment="1" applyBorder="1" applyFont="1">
      <alignment horizontal="center" vertical="center"/>
    </xf>
    <xf borderId="27" fillId="0" fontId="17" numFmtId="0" xfId="0" applyAlignment="1" applyBorder="1" applyFont="1">
      <alignment horizontal="center" vertical="center"/>
    </xf>
    <xf borderId="28" fillId="0" fontId="11" numFmtId="0" xfId="0" applyAlignment="1" applyBorder="1" applyFont="1">
      <alignment horizontal="center" vertical="center"/>
    </xf>
    <xf borderId="28" fillId="0" fontId="11" numFmtId="0" xfId="0" applyAlignment="1" applyBorder="1" applyFont="1">
      <alignment horizontal="left" shrinkToFit="0" vertical="center" wrapText="1"/>
    </xf>
    <xf borderId="28" fillId="0" fontId="23" numFmtId="0" xfId="0" applyAlignment="1" applyBorder="1" applyFont="1">
      <alignment horizontal="center" vertical="center"/>
    </xf>
    <xf borderId="28" fillId="0" fontId="17" numFmtId="4" xfId="0" applyAlignment="1" applyBorder="1" applyFont="1" applyNumberFormat="1">
      <alignment horizontal="right" shrinkToFit="0" vertical="center" wrapText="1"/>
    </xf>
    <xf borderId="58" fillId="4" fontId="17" numFmtId="169" xfId="0" applyAlignment="1" applyBorder="1" applyFont="1" applyNumberFormat="1">
      <alignment horizontal="right" vertical="center"/>
    </xf>
    <xf borderId="28" fillId="0" fontId="17" numFmtId="4" xfId="0" applyAlignment="1" applyBorder="1" applyFont="1" applyNumberFormat="1">
      <alignment horizontal="right" vertical="center"/>
    </xf>
    <xf borderId="29" fillId="0" fontId="17" numFmtId="4" xfId="0" applyAlignment="1" applyBorder="1" applyFont="1" applyNumberFormat="1">
      <alignment horizontal="right" vertical="center"/>
    </xf>
    <xf borderId="55" fillId="0" fontId="17" numFmtId="0" xfId="0" applyAlignment="1" applyBorder="1" applyFont="1">
      <alignment horizontal="left" vertical="center"/>
    </xf>
    <xf borderId="0" fillId="0" fontId="3" numFmtId="2" xfId="0" applyFont="1" applyNumberFormat="1"/>
    <xf borderId="44" fillId="0" fontId="17" numFmtId="0" xfId="0" applyAlignment="1" applyBorder="1" applyFont="1">
      <alignment horizontal="center" vertical="center"/>
    </xf>
    <xf quotePrefix="1" borderId="30" fillId="0" fontId="9" numFmtId="0" xfId="0" applyAlignment="1" applyBorder="1" applyFont="1">
      <alignment horizontal="center" vertical="center"/>
    </xf>
    <xf borderId="0" fillId="0" fontId="3" numFmtId="2" xfId="0" applyAlignment="1" applyFont="1" applyNumberFormat="1">
      <alignment horizontal="right" vertical="center"/>
    </xf>
    <xf borderId="20" fillId="0" fontId="17" numFmtId="0" xfId="0" applyAlignment="1" applyBorder="1" applyFont="1">
      <alignment horizontal="center" vertical="center"/>
    </xf>
    <xf borderId="0" fillId="0" fontId="30" numFmtId="2" xfId="0" applyAlignment="1" applyFont="1" applyNumberFormat="1">
      <alignment horizontal="left" vertical="center"/>
    </xf>
    <xf borderId="0" fillId="0" fontId="33" numFmtId="2" xfId="0" applyAlignment="1" applyFont="1" applyNumberFormat="1">
      <alignment horizontal="left" vertical="center"/>
    </xf>
    <xf borderId="0" fillId="0" fontId="32" numFmtId="0" xfId="0" applyAlignment="1" applyFont="1">
      <alignment horizontal="left" shrinkToFit="0" vertical="center" wrapText="1"/>
    </xf>
    <xf borderId="0" fillId="0" fontId="29" numFmtId="2" xfId="0" applyAlignment="1" applyFont="1" applyNumberFormat="1">
      <alignment horizontal="right" vertical="center"/>
    </xf>
    <xf borderId="0" fillId="0" fontId="29" numFmtId="2" xfId="0" applyAlignment="1" applyFont="1" applyNumberFormat="1">
      <alignment horizontal="left" vertical="center"/>
    </xf>
    <xf borderId="0" fillId="0" fontId="34" numFmtId="2" xfId="0" applyAlignment="1" applyFont="1" applyNumberFormat="1">
      <alignment horizontal="left" vertical="center"/>
    </xf>
    <xf borderId="46" fillId="0" fontId="17" numFmtId="0" xfId="0" applyAlignment="1" applyBorder="1" applyFont="1">
      <alignment horizontal="center" vertical="center"/>
    </xf>
    <xf borderId="53" fillId="5" fontId="17" numFmtId="0" xfId="0" applyAlignment="1" applyBorder="1" applyFill="1" applyFont="1">
      <alignment horizontal="center" vertical="center"/>
    </xf>
    <xf borderId="30" fillId="5" fontId="17" numFmtId="0" xfId="0" applyAlignment="1" applyBorder="1" applyFont="1">
      <alignment horizontal="center" vertical="center"/>
    </xf>
    <xf quotePrefix="1" borderId="30" fillId="5" fontId="15" numFmtId="0" xfId="0" applyAlignment="1" applyBorder="1" applyFont="1">
      <alignment horizontal="left" vertical="center"/>
    </xf>
    <xf borderId="30" fillId="5" fontId="17" numFmtId="2" xfId="0" applyAlignment="1" applyBorder="1" applyFont="1" applyNumberFormat="1">
      <alignment horizontal="right" vertical="center"/>
    </xf>
    <xf borderId="30" fillId="5" fontId="17" numFmtId="4" xfId="0" applyAlignment="1" applyBorder="1" applyFont="1" applyNumberFormat="1">
      <alignment horizontal="right" shrinkToFit="0" vertical="center" wrapText="1"/>
    </xf>
    <xf borderId="30" fillId="5" fontId="17" numFmtId="4" xfId="0" applyAlignment="1" applyBorder="1" applyFont="1" applyNumberFormat="1">
      <alignment horizontal="right" vertical="center"/>
    </xf>
    <xf borderId="22" fillId="5" fontId="17" numFmtId="4" xfId="0" applyAlignment="1" applyBorder="1" applyFont="1" applyNumberFormat="1">
      <alignment horizontal="right" vertical="center"/>
    </xf>
    <xf quotePrefix="1" borderId="30" fillId="0" fontId="17" numFmtId="0" xfId="0" applyAlignment="1" applyBorder="1" applyFont="1">
      <alignment horizontal="center" vertical="center"/>
    </xf>
    <xf borderId="30" fillId="0" fontId="17" numFmtId="2" xfId="0" applyAlignment="1" applyBorder="1" applyFont="1" applyNumberFormat="1">
      <alignment horizontal="right" vertical="center"/>
    </xf>
    <xf borderId="30" fillId="4" fontId="17" numFmtId="4" xfId="0" applyAlignment="1" applyBorder="1" applyFont="1" applyNumberFormat="1">
      <alignment horizontal="right" vertical="center"/>
    </xf>
    <xf borderId="0" fillId="0" fontId="11" numFmtId="0" xfId="0" applyAlignment="1" applyFont="1">
      <alignment horizontal="center" vertical="center"/>
    </xf>
    <xf borderId="0" fillId="0" fontId="11" numFmtId="2" xfId="0" applyAlignment="1" applyFont="1" applyNumberFormat="1">
      <alignment horizontal="center" vertical="center"/>
    </xf>
    <xf borderId="0" fillId="0" fontId="35" numFmtId="2" xfId="0" applyAlignment="1" applyFont="1" applyNumberFormat="1">
      <alignment horizontal="left" shrinkToFit="0" vertical="center" wrapText="1"/>
    </xf>
    <xf quotePrefix="1" borderId="30" fillId="0" fontId="18" numFmtId="0" xfId="0" applyAlignment="1" applyBorder="1" applyFont="1">
      <alignment horizontal="center" vertical="center"/>
    </xf>
    <xf borderId="30" fillId="0" fontId="32" numFmtId="0" xfId="0" applyAlignment="1" applyBorder="1" applyFont="1">
      <alignment horizontal="left" vertical="center"/>
    </xf>
    <xf borderId="0" fillId="0" fontId="36" numFmtId="2" xfId="0" applyAlignment="1" applyFont="1" applyNumberFormat="1">
      <alignment horizontal="center" vertical="center"/>
    </xf>
    <xf borderId="0" fillId="0" fontId="30" numFmtId="2" xfId="0" applyAlignment="1" applyFont="1" applyNumberFormat="1">
      <alignment horizontal="center" vertical="center"/>
    </xf>
    <xf quotePrefix="1" borderId="53" fillId="0" fontId="17" numFmtId="0" xfId="0" applyAlignment="1" applyBorder="1" applyFont="1">
      <alignment horizontal="center" vertical="center"/>
    </xf>
    <xf borderId="0" fillId="0" fontId="37" numFmtId="2" xfId="0" applyAlignment="1" applyFont="1" applyNumberFormat="1">
      <alignment horizontal="center" vertical="center"/>
    </xf>
    <xf borderId="0" fillId="0" fontId="30" numFmtId="0" xfId="0" applyAlignment="1" applyFont="1">
      <alignment horizontal="left" vertical="center"/>
    </xf>
    <xf borderId="0" fillId="0" fontId="30" numFmtId="4" xfId="0" applyAlignment="1" applyFont="1" applyNumberFormat="1">
      <alignment horizontal="left" vertical="center"/>
    </xf>
    <xf borderId="0" fillId="0" fontId="30" numFmtId="1" xfId="0" applyAlignment="1" applyFont="1" applyNumberFormat="1">
      <alignment horizontal="center" vertical="center"/>
    </xf>
    <xf borderId="0" fillId="0" fontId="30" numFmtId="0" xfId="0" applyAlignment="1" applyFont="1">
      <alignment horizontal="center" vertical="center"/>
    </xf>
    <xf borderId="0" fillId="0" fontId="30" numFmtId="4" xfId="0" applyAlignment="1" applyFont="1" applyNumberFormat="1">
      <alignment horizontal="center" vertical="center"/>
    </xf>
    <xf quotePrefix="1" borderId="53" fillId="0" fontId="17" numFmtId="166" xfId="0" applyAlignment="1" applyBorder="1" applyFont="1" applyNumberFormat="1">
      <alignment horizontal="center" vertical="center"/>
    </xf>
    <xf borderId="59" fillId="0" fontId="17" numFmtId="4" xfId="0" applyAlignment="1" applyBorder="1" applyFont="1" applyNumberFormat="1">
      <alignment horizontal="right" shrinkToFit="0" vertical="center" wrapText="1"/>
    </xf>
    <xf borderId="30" fillId="4" fontId="17" numFmtId="4" xfId="0" applyAlignment="1" applyBorder="1" applyFont="1" applyNumberFormat="1">
      <alignment horizontal="right" shrinkToFit="0" vertical="center" wrapText="1"/>
    </xf>
    <xf borderId="59" fillId="0" fontId="17" numFmtId="4" xfId="0" applyAlignment="1" applyBorder="1" applyFont="1" applyNumberFormat="1">
      <alignment horizontal="right" vertical="center"/>
    </xf>
    <xf borderId="60" fillId="0" fontId="17" numFmtId="4" xfId="0" applyAlignment="1" applyBorder="1" applyFont="1" applyNumberFormat="1">
      <alignment horizontal="right" vertical="center"/>
    </xf>
    <xf borderId="0" fillId="0" fontId="3" numFmtId="2" xfId="0" applyAlignment="1" applyFont="1" applyNumberFormat="1">
      <alignment horizontal="left" vertical="center"/>
    </xf>
    <xf borderId="34" fillId="0" fontId="17" numFmtId="166" xfId="0" applyAlignment="1" applyBorder="1" applyFont="1" applyNumberFormat="1">
      <alignment horizontal="center" vertical="center"/>
    </xf>
    <xf borderId="25" fillId="0" fontId="17" numFmtId="0" xfId="0" applyAlignment="1" applyBorder="1" applyFont="1">
      <alignment horizontal="left" shrinkToFit="0" vertical="center" wrapText="1"/>
    </xf>
    <xf borderId="25" fillId="0" fontId="17" numFmtId="0" xfId="0" applyAlignment="1" applyBorder="1" applyFont="1">
      <alignment horizontal="center" shrinkToFit="0" vertical="center" wrapText="1"/>
    </xf>
    <xf borderId="25" fillId="0" fontId="17" numFmtId="0" xfId="0" applyAlignment="1" applyBorder="1" applyFont="1">
      <alignment horizontal="right" shrinkToFit="0" vertical="center" wrapText="1"/>
    </xf>
    <xf borderId="25" fillId="0" fontId="17" numFmtId="4" xfId="0" applyAlignment="1" applyBorder="1" applyFont="1" applyNumberFormat="1">
      <alignment horizontal="right" shrinkToFit="0" vertical="center" wrapText="1"/>
    </xf>
    <xf quotePrefix="1" borderId="38" fillId="0" fontId="17" numFmtId="0" xfId="0" applyAlignment="1" applyBorder="1" applyFont="1">
      <alignment horizontal="center" vertical="center"/>
    </xf>
    <xf borderId="0" fillId="0" fontId="3" numFmtId="2" xfId="0" applyAlignment="1" applyFont="1" applyNumberFormat="1">
      <alignment horizontal="center" shrinkToFit="0" vertical="center" wrapText="1"/>
    </xf>
    <xf borderId="0" fillId="0" fontId="38" numFmtId="2" xfId="0" applyAlignment="1" applyFont="1" applyNumberFormat="1">
      <alignment horizontal="left" vertical="center"/>
    </xf>
    <xf borderId="0" fillId="0" fontId="39" numFmtId="2" xfId="0" applyAlignment="1" applyFont="1" applyNumberFormat="1">
      <alignment horizontal="left" vertical="center"/>
    </xf>
    <xf borderId="0" fillId="0" fontId="40" numFmtId="2" xfId="0" applyAlignment="1" applyFont="1" applyNumberFormat="1">
      <alignment horizontal="left" vertical="center"/>
    </xf>
    <xf borderId="0" fillId="0" fontId="28" numFmtId="2" xfId="0" applyFont="1" applyNumberFormat="1"/>
    <xf borderId="0" fillId="0" fontId="28" numFmtId="2" xfId="0" applyAlignment="1" applyFont="1" applyNumberFormat="1">
      <alignment horizontal="left" vertical="center"/>
    </xf>
    <xf borderId="23" fillId="0" fontId="17" numFmtId="0" xfId="0" applyAlignment="1" applyBorder="1" applyFont="1">
      <alignment horizontal="center" vertical="center"/>
    </xf>
    <xf borderId="24" fillId="0" fontId="17" numFmtId="0" xfId="0" applyAlignment="1" applyBorder="1" applyFont="1">
      <alignment horizontal="center" vertical="center"/>
    </xf>
    <xf borderId="24" fillId="0" fontId="17" numFmtId="0" xfId="0" applyAlignment="1" applyBorder="1" applyFont="1">
      <alignment horizontal="left" shrinkToFit="0" vertical="center" wrapText="1"/>
    </xf>
    <xf borderId="24" fillId="0" fontId="17" numFmtId="2" xfId="0" applyAlignment="1" applyBorder="1" applyFont="1" applyNumberFormat="1">
      <alignment horizontal="right" vertical="center"/>
    </xf>
    <xf borderId="24" fillId="0" fontId="17" numFmtId="0" xfId="0" applyAlignment="1" applyBorder="1" applyFont="1">
      <alignment horizontal="right" vertical="center"/>
    </xf>
    <xf borderId="24" fillId="0" fontId="17" numFmtId="4" xfId="0" applyAlignment="1" applyBorder="1" applyFont="1" applyNumberFormat="1">
      <alignment horizontal="right" vertical="center"/>
    </xf>
    <xf borderId="24" fillId="0" fontId="15" numFmtId="10" xfId="0" applyAlignment="1" applyBorder="1" applyFont="1" applyNumberFormat="1">
      <alignment horizontal="right" vertical="center"/>
    </xf>
    <xf borderId="35" fillId="0" fontId="15" numFmtId="4" xfId="0" applyAlignment="1" applyBorder="1" applyFont="1" applyNumberFormat="1">
      <alignment horizontal="right" vertical="center"/>
    </xf>
    <xf quotePrefix="1" borderId="30" fillId="0" fontId="17" numFmtId="0" xfId="0" applyAlignment="1" applyBorder="1" applyFont="1">
      <alignment horizontal="left" shrinkToFit="0" vertical="center" wrapText="1"/>
    </xf>
    <xf borderId="0" fillId="0" fontId="28" numFmtId="2" xfId="0" applyAlignment="1" applyFont="1" applyNumberFormat="1">
      <alignment horizontal="center" vertical="center"/>
    </xf>
    <xf borderId="30" fillId="0" fontId="17" numFmtId="0" xfId="0" applyAlignment="1" applyBorder="1" applyFont="1">
      <alignment horizontal="right" vertical="center"/>
    </xf>
    <xf borderId="30" fillId="0" fontId="19" numFmtId="0" xfId="0" applyAlignment="1" applyBorder="1" applyFont="1">
      <alignment horizontal="center" vertical="center"/>
    </xf>
    <xf borderId="0" fillId="0" fontId="3" numFmtId="2" xfId="0" applyAlignment="1" applyFont="1" applyNumberFormat="1">
      <alignment horizontal="center" vertical="center"/>
    </xf>
    <xf borderId="0" fillId="0" fontId="28" numFmtId="2" xfId="0" applyAlignment="1" applyFont="1" applyNumberFormat="1">
      <alignment horizontal="left" shrinkToFit="0" vertical="center" wrapText="1"/>
    </xf>
    <xf borderId="0" fillId="0" fontId="11" numFmtId="2" xfId="0" applyAlignment="1" applyFont="1" applyNumberFormat="1">
      <alignment horizontal="left" vertical="center"/>
    </xf>
    <xf borderId="0" fillId="0" fontId="22" numFmtId="2" xfId="0" applyAlignment="1" applyFont="1" applyNumberFormat="1">
      <alignment horizontal="center" shrinkToFit="0" vertical="center" wrapText="1"/>
    </xf>
    <xf borderId="0" fillId="0" fontId="17" numFmtId="2" xfId="0" applyAlignment="1" applyFont="1" applyNumberFormat="1">
      <alignment horizontal="left" shrinkToFit="0" vertical="center" wrapText="1"/>
    </xf>
    <xf borderId="0" fillId="0" fontId="11" numFmtId="2" xfId="0" applyAlignment="1" applyFont="1" applyNumberFormat="1">
      <alignment horizontal="left" shrinkToFit="0" vertical="center" wrapText="1"/>
    </xf>
    <xf borderId="0" fillId="0" fontId="17" numFmtId="4" xfId="0" applyAlignment="1" applyFont="1" applyNumberFormat="1">
      <alignment vertical="center"/>
    </xf>
    <xf borderId="24" fillId="0" fontId="11" numFmtId="0" xfId="0" applyAlignment="1" applyBorder="1" applyFont="1">
      <alignment horizontal="left" shrinkToFit="0" vertical="center" wrapText="1"/>
    </xf>
    <xf borderId="61" fillId="3" fontId="15" numFmtId="166" xfId="0" applyAlignment="1" applyBorder="1" applyFont="1" applyNumberFormat="1">
      <alignment horizontal="center" vertical="center"/>
    </xf>
    <xf borderId="32" fillId="3" fontId="41" numFmtId="0" xfId="0" applyAlignment="1" applyBorder="1" applyFont="1">
      <alignment horizontal="center" vertical="center"/>
    </xf>
    <xf borderId="62" fillId="5" fontId="15" numFmtId="0" xfId="0" applyAlignment="1" applyBorder="1" applyFont="1">
      <alignment horizontal="center" vertical="center"/>
    </xf>
    <xf quotePrefix="1" borderId="63" fillId="5" fontId="15" numFmtId="0" xfId="0" applyAlignment="1" applyBorder="1" applyFont="1">
      <alignment horizontal="left" vertical="center"/>
    </xf>
    <xf borderId="0" fillId="0" fontId="42" numFmtId="2" xfId="0" applyAlignment="1" applyFont="1" applyNumberFormat="1">
      <alignment horizontal="left" vertical="center"/>
    </xf>
    <xf borderId="53" fillId="5" fontId="15" numFmtId="0" xfId="0" applyAlignment="1" applyBorder="1" applyFont="1">
      <alignment horizontal="center" vertical="center"/>
    </xf>
    <xf borderId="0" fillId="0" fontId="17" numFmtId="2" xfId="0" applyAlignment="1" applyFont="1" applyNumberFormat="1">
      <alignment horizontal="left" vertical="center"/>
    </xf>
    <xf borderId="30" fillId="0" fontId="25" numFmtId="10" xfId="0" applyAlignment="1" applyBorder="1" applyFont="1" applyNumberFormat="1">
      <alignment horizontal="right" vertical="center"/>
    </xf>
    <xf borderId="22" fillId="0" fontId="15" numFmtId="4" xfId="0" applyAlignment="1" applyBorder="1" applyFont="1" applyNumberFormat="1">
      <alignment horizontal="right" vertical="center"/>
    </xf>
    <xf borderId="64" fillId="3" fontId="15" numFmtId="166" xfId="0" applyAlignment="1" applyBorder="1" applyFont="1" applyNumberFormat="1">
      <alignment horizontal="center" vertical="center"/>
    </xf>
    <xf borderId="65" fillId="3" fontId="15" numFmtId="0" xfId="0" applyAlignment="1" applyBorder="1" applyFont="1">
      <alignment horizontal="center" vertical="center"/>
    </xf>
    <xf borderId="65" fillId="3" fontId="15" numFmtId="0" xfId="0" applyAlignment="1" applyBorder="1" applyFont="1">
      <alignment horizontal="left" shrinkToFit="0" vertical="center" wrapText="1"/>
    </xf>
    <xf borderId="65" fillId="3" fontId="15" numFmtId="0" xfId="0" applyAlignment="1" applyBorder="1" applyFont="1">
      <alignment horizontal="center" shrinkToFit="0" vertical="center" wrapText="1"/>
    </xf>
    <xf borderId="65" fillId="3" fontId="15" numFmtId="2" xfId="0" applyAlignment="1" applyBorder="1" applyFont="1" applyNumberFormat="1">
      <alignment horizontal="right" shrinkToFit="0" vertical="center" wrapText="1"/>
    </xf>
    <xf borderId="65" fillId="3" fontId="15" numFmtId="0" xfId="0" applyAlignment="1" applyBorder="1" applyFont="1">
      <alignment horizontal="right" shrinkToFit="0" vertical="center" wrapText="1"/>
    </xf>
    <xf borderId="65" fillId="3" fontId="15" numFmtId="4" xfId="0" applyAlignment="1" applyBorder="1" applyFont="1" applyNumberFormat="1">
      <alignment horizontal="right" shrinkToFit="0" vertical="center" wrapText="1"/>
    </xf>
    <xf borderId="66" fillId="3" fontId="15" numFmtId="4" xfId="0" applyAlignment="1" applyBorder="1" applyFont="1" applyNumberFormat="1">
      <alignment horizontal="center" shrinkToFit="0" vertical="center" wrapText="1"/>
    </xf>
    <xf borderId="0" fillId="0" fontId="17" numFmtId="0" xfId="0" applyAlignment="1" applyFont="1">
      <alignment horizontal="center" vertical="center"/>
    </xf>
    <xf borderId="0" fillId="0" fontId="22" numFmtId="2" xfId="0" applyAlignment="1" applyFont="1" applyNumberFormat="1">
      <alignment horizontal="left" shrinkToFit="0" vertical="center" wrapText="1"/>
    </xf>
    <xf borderId="67" fillId="0" fontId="17" numFmtId="0" xfId="0" applyAlignment="1" applyBorder="1" applyFont="1">
      <alignment horizontal="center" vertical="center"/>
    </xf>
    <xf quotePrefix="1" borderId="39" fillId="0" fontId="17" numFmtId="0" xfId="0" applyAlignment="1" applyBorder="1" applyFont="1">
      <alignment horizontal="left" shrinkToFit="0" vertical="center" wrapText="1"/>
    </xf>
    <xf borderId="0" fillId="0" fontId="9" numFmtId="4" xfId="0" applyAlignment="1" applyFont="1" applyNumberFormat="1">
      <alignment horizontal="center" vertical="center"/>
    </xf>
    <xf borderId="0" fillId="0" fontId="42" numFmtId="2" xfId="0" applyAlignment="1" applyFont="1" applyNumberFormat="1">
      <alignment horizontal="left" shrinkToFit="0" vertical="center" wrapText="1"/>
    </xf>
    <xf quotePrefix="1" borderId="30" fillId="0" fontId="19" numFmtId="0" xfId="0" applyAlignment="1" applyBorder="1" applyFont="1">
      <alignment horizontal="center" vertical="center"/>
    </xf>
    <xf borderId="0" fillId="0" fontId="19" numFmtId="4" xfId="0" applyAlignment="1" applyFont="1" applyNumberFormat="1">
      <alignment horizontal="center" vertical="center"/>
    </xf>
    <xf borderId="0" fillId="0" fontId="9" numFmtId="2" xfId="0" applyAlignment="1" applyFont="1" applyNumberFormat="1">
      <alignment horizontal="left" shrinkToFit="0" vertical="center" wrapText="1"/>
    </xf>
    <xf borderId="0" fillId="0" fontId="17" numFmtId="2" xfId="0" applyAlignment="1" applyFont="1" applyNumberFormat="1">
      <alignment horizontal="center" vertical="center"/>
    </xf>
    <xf borderId="0" fillId="0" fontId="27" numFmtId="0" xfId="0" applyAlignment="1" applyFont="1">
      <alignment horizontal="left" vertical="center"/>
    </xf>
    <xf borderId="30" fillId="0" fontId="17" numFmtId="0" xfId="0" applyAlignment="1" applyBorder="1" applyFont="1">
      <alignment horizontal="center" shrinkToFit="0" vertical="center" wrapText="1"/>
    </xf>
    <xf borderId="0" fillId="0" fontId="28" numFmtId="0" xfId="0" applyFont="1"/>
    <xf borderId="0" fillId="0" fontId="28" numFmtId="169" xfId="0" applyAlignment="1" applyFont="1" applyNumberFormat="1">
      <alignment horizontal="center" vertical="center"/>
    </xf>
    <xf borderId="24" fillId="0" fontId="25" numFmtId="10" xfId="0" applyAlignment="1" applyBorder="1" applyFont="1" applyNumberFormat="1">
      <alignment horizontal="right" vertical="center"/>
    </xf>
    <xf borderId="31" fillId="5" fontId="15" numFmtId="0" xfId="0" applyAlignment="1" applyBorder="1" applyFont="1">
      <alignment horizontal="center" vertical="center"/>
    </xf>
    <xf borderId="32" fillId="5" fontId="17" numFmtId="0" xfId="0" applyAlignment="1" applyBorder="1" applyFont="1">
      <alignment horizontal="center" vertical="center"/>
    </xf>
    <xf quotePrefix="1" borderId="32" fillId="5" fontId="15" numFmtId="0" xfId="0" applyAlignment="1" applyBorder="1" applyFont="1">
      <alignment horizontal="left" vertical="center"/>
    </xf>
    <xf borderId="32" fillId="5" fontId="17" numFmtId="2" xfId="0" applyAlignment="1" applyBorder="1" applyFont="1" applyNumberFormat="1">
      <alignment horizontal="right" vertical="center"/>
    </xf>
    <xf borderId="32" fillId="5" fontId="17" numFmtId="4" xfId="0" applyAlignment="1" applyBorder="1" applyFont="1" applyNumberFormat="1">
      <alignment horizontal="right" shrinkToFit="0" vertical="center" wrapText="1"/>
    </xf>
    <xf borderId="32" fillId="5" fontId="17" numFmtId="4" xfId="0" applyAlignment="1" applyBorder="1" applyFont="1" applyNumberFormat="1">
      <alignment horizontal="right" vertical="center"/>
    </xf>
    <xf borderId="33" fillId="5" fontId="17" numFmtId="4" xfId="0" applyAlignment="1" applyBorder="1" applyFont="1" applyNumberFormat="1">
      <alignment horizontal="right" vertical="center"/>
    </xf>
    <xf borderId="28" fillId="0" fontId="43" numFmtId="0" xfId="0" applyAlignment="1" applyBorder="1" applyFont="1">
      <alignment horizontal="center" vertical="center"/>
    </xf>
    <xf borderId="30" fillId="4" fontId="11" numFmtId="2" xfId="0" applyAlignment="1" applyBorder="1" applyFont="1" applyNumberFormat="1">
      <alignment horizontal="right" vertical="center"/>
    </xf>
    <xf borderId="20" fillId="0" fontId="19" numFmtId="0" xfId="0" applyAlignment="1" applyBorder="1" applyFont="1">
      <alignment horizontal="center" vertical="center"/>
    </xf>
    <xf borderId="0" fillId="0" fontId="3" numFmtId="0" xfId="0" applyAlignment="1" applyFont="1">
      <alignment horizontal="center" vertical="center"/>
    </xf>
    <xf borderId="30" fillId="0" fontId="17" numFmtId="169" xfId="0" applyAlignment="1" applyBorder="1" applyFont="1" applyNumberFormat="1">
      <alignment horizontal="left" vertical="center"/>
    </xf>
    <xf borderId="30" fillId="4" fontId="17" numFmtId="2" xfId="0" applyAlignment="1" applyBorder="1" applyFont="1" applyNumberFormat="1">
      <alignment horizontal="right" vertical="center"/>
    </xf>
    <xf borderId="30" fillId="0" fontId="43" numFmtId="0" xfId="0" applyAlignment="1" applyBorder="1" applyFont="1">
      <alignment horizontal="center" vertical="center"/>
    </xf>
    <xf borderId="0" fillId="0" fontId="3" numFmtId="169" xfId="0" applyAlignment="1" applyFont="1" applyNumberFormat="1">
      <alignment horizontal="center" vertical="center"/>
    </xf>
    <xf borderId="0" fillId="0" fontId="3" numFmtId="0" xfId="0" applyAlignment="1" applyFont="1">
      <alignment horizontal="center" shrinkToFit="0" vertical="center" wrapText="1"/>
    </xf>
    <xf borderId="0" fillId="0" fontId="38" numFmtId="0" xfId="0" applyAlignment="1" applyFont="1">
      <alignment horizontal="left" vertical="center"/>
    </xf>
    <xf borderId="0" fillId="0" fontId="28" numFmtId="2" xfId="0" applyAlignment="1" applyFont="1" applyNumberFormat="1">
      <alignment shrinkToFit="0" wrapText="1"/>
    </xf>
    <xf borderId="28" fillId="0" fontId="17" numFmtId="0" xfId="0" applyAlignment="1" applyBorder="1" applyFont="1">
      <alignment horizontal="center" vertical="center"/>
    </xf>
    <xf borderId="28" fillId="0" fontId="17" numFmtId="0" xfId="0" applyAlignment="1" applyBorder="1" applyFont="1">
      <alignment horizontal="left" shrinkToFit="0" vertical="center" wrapText="1"/>
    </xf>
    <xf borderId="58" fillId="4" fontId="11" numFmtId="2" xfId="0" applyAlignment="1" applyBorder="1" applyFont="1" applyNumberFormat="1">
      <alignment horizontal="right" vertical="center"/>
    </xf>
    <xf borderId="28" fillId="0" fontId="17" numFmtId="169" xfId="0" applyAlignment="1" applyBorder="1" applyFont="1" applyNumberFormat="1">
      <alignment horizontal="left" vertical="center"/>
    </xf>
    <xf borderId="0" fillId="0" fontId="28" numFmtId="2" xfId="0" applyAlignment="1" applyFont="1" applyNumberFormat="1">
      <alignment horizontal="center" shrinkToFit="0" vertical="center" wrapText="1"/>
    </xf>
    <xf borderId="0" fillId="0" fontId="3" numFmtId="2" xfId="0" applyAlignment="1" applyFont="1" applyNumberFormat="1">
      <alignment shrinkToFit="0" wrapText="1"/>
    </xf>
    <xf borderId="0" fillId="0" fontId="44" numFmtId="0" xfId="0" applyAlignment="1" applyFont="1">
      <alignment horizontal="left" vertical="center"/>
    </xf>
    <xf borderId="63" fillId="4" fontId="17" numFmtId="2" xfId="0" applyAlignment="1" applyBorder="1" applyFont="1" applyNumberFormat="1">
      <alignment horizontal="right" vertical="center"/>
    </xf>
    <xf borderId="63" fillId="4" fontId="11" numFmtId="2" xfId="0" applyAlignment="1" applyBorder="1" applyFont="1" applyNumberFormat="1">
      <alignment horizontal="right" vertical="center"/>
    </xf>
    <xf borderId="54" fillId="0" fontId="37" numFmtId="0" xfId="0" applyAlignment="1" applyBorder="1" applyFont="1">
      <alignment horizontal="center" vertical="center"/>
    </xf>
    <xf borderId="68" fillId="0" fontId="37" numFmtId="0" xfId="0" applyAlignment="1" applyBorder="1" applyFont="1">
      <alignment horizontal="center" vertical="center"/>
    </xf>
    <xf borderId="59" fillId="0" fontId="17" numFmtId="0" xfId="0" applyAlignment="1" applyBorder="1" applyFont="1">
      <alignment horizontal="left" shrinkToFit="0" vertical="center" wrapText="1"/>
    </xf>
    <xf borderId="0" fillId="0" fontId="19" numFmtId="169" xfId="0" applyAlignment="1" applyFont="1" applyNumberFormat="1">
      <alignment horizontal="center" vertical="center"/>
    </xf>
    <xf quotePrefix="1" borderId="27" fillId="0" fontId="17" numFmtId="0" xfId="0" applyAlignment="1" applyBorder="1" applyFont="1">
      <alignment horizontal="center" vertical="center"/>
    </xf>
    <xf borderId="18" fillId="0" fontId="19" numFmtId="0" xfId="0" applyAlignment="1" applyBorder="1" applyFont="1">
      <alignment horizontal="center" vertical="center"/>
    </xf>
    <xf borderId="58" fillId="4" fontId="17" numFmtId="4" xfId="0" applyAlignment="1" applyBorder="1" applyFont="1" applyNumberFormat="1">
      <alignment horizontal="right" vertical="center"/>
    </xf>
    <xf borderId="0" fillId="0" fontId="17" numFmtId="0" xfId="0" applyAlignment="1" applyFont="1">
      <alignment horizontal="center" shrinkToFit="0" vertical="center" wrapText="1"/>
    </xf>
    <xf borderId="0" fillId="0" fontId="11" numFmtId="2" xfId="0" applyFont="1" applyNumberFormat="1"/>
    <xf borderId="21" fillId="0" fontId="17" numFmtId="0" xfId="0" applyAlignment="1" applyBorder="1" applyFont="1">
      <alignment horizontal="center" vertical="center"/>
    </xf>
    <xf borderId="30" fillId="0" fontId="11" numFmtId="0" xfId="0" applyAlignment="1" applyBorder="1" applyFont="1">
      <alignment horizontal="left" vertical="center"/>
    </xf>
    <xf borderId="69" fillId="0" fontId="45" numFmtId="0" xfId="0" applyAlignment="1" applyBorder="1" applyFont="1">
      <alignment horizontal="left" shrinkToFit="0" vertical="top" wrapText="1"/>
    </xf>
    <xf borderId="19" fillId="0" fontId="43" numFmtId="0" xfId="0" applyAlignment="1" applyBorder="1" applyFont="1">
      <alignment horizontal="center" vertical="center"/>
    </xf>
    <xf borderId="21" fillId="0" fontId="43" numFmtId="0" xfId="0" applyAlignment="1" applyBorder="1" applyFont="1">
      <alignment horizontal="center" vertical="center"/>
    </xf>
    <xf borderId="0" fillId="0" fontId="46" numFmtId="0" xfId="0" applyAlignment="1" applyFont="1">
      <alignment horizontal="left" vertical="center"/>
    </xf>
    <xf borderId="25" fillId="0" fontId="17" numFmtId="4" xfId="0" applyAlignment="1" applyBorder="1" applyFont="1" applyNumberFormat="1">
      <alignment vertical="center"/>
    </xf>
    <xf borderId="51" fillId="6" fontId="15" numFmtId="2" xfId="0" applyAlignment="1" applyBorder="1" applyFill="1" applyFont="1" applyNumberFormat="1">
      <alignment horizontal="center" shrinkToFit="0" vertical="center" wrapText="1"/>
    </xf>
    <xf quotePrefix="1" borderId="30" fillId="0" fontId="17" numFmtId="0" xfId="0" applyAlignment="1" applyBorder="1" applyFont="1">
      <alignment horizontal="left" vertical="center"/>
    </xf>
    <xf borderId="30" fillId="0" fontId="17" numFmtId="4" xfId="0" applyAlignment="1" applyBorder="1" applyFont="1" applyNumberFormat="1">
      <alignment horizontal="center" shrinkToFit="0" vertical="center" wrapText="1"/>
    </xf>
    <xf borderId="30" fillId="4" fontId="17" numFmtId="4" xfId="0" applyAlignment="1" applyBorder="1" applyFont="1" applyNumberFormat="1">
      <alignment vertical="center"/>
    </xf>
    <xf borderId="30" fillId="0" fontId="17" numFmtId="4" xfId="0" applyAlignment="1" applyBorder="1" applyFont="1" applyNumberFormat="1">
      <alignment horizontal="center" vertical="center"/>
    </xf>
    <xf borderId="30" fillId="0" fontId="17" numFmtId="4" xfId="0" applyAlignment="1" applyBorder="1" applyFont="1" applyNumberFormat="1">
      <alignment vertical="center"/>
    </xf>
    <xf borderId="65" fillId="6" fontId="15" numFmtId="2" xfId="0" applyAlignment="1" applyBorder="1" applyFont="1" applyNumberFormat="1">
      <alignment horizontal="center" shrinkToFit="0" vertical="center" wrapText="1"/>
    </xf>
    <xf borderId="65" fillId="3" fontId="15" numFmtId="4" xfId="0" applyAlignment="1" applyBorder="1" applyFont="1" applyNumberFormat="1">
      <alignment horizontal="center" shrinkToFit="0" vertical="center" wrapText="1"/>
    </xf>
    <xf borderId="0" fillId="0" fontId="47" numFmtId="0" xfId="0" applyAlignment="1" applyFont="1">
      <alignment horizontal="center" vertical="center"/>
    </xf>
    <xf borderId="21" fillId="0" fontId="17" numFmtId="4" xfId="0" applyAlignment="1" applyBorder="1" applyFont="1" applyNumberFormat="1">
      <alignment horizontal="right" vertical="center"/>
    </xf>
    <xf borderId="0" fillId="0" fontId="17" numFmtId="169" xfId="0" applyAlignment="1" applyFont="1" applyNumberFormat="1">
      <alignment horizontal="center" vertical="center"/>
    </xf>
    <xf borderId="0" fillId="0" fontId="37" numFmtId="0" xfId="0" applyAlignment="1" applyFont="1">
      <alignment horizontal="center" vertical="center"/>
    </xf>
    <xf quotePrefix="1" borderId="16" fillId="0" fontId="17" numFmtId="0" xfId="0" applyAlignment="1" applyBorder="1" applyFont="1">
      <alignment horizontal="center" vertical="center"/>
    </xf>
    <xf borderId="17" fillId="0" fontId="17" numFmtId="4" xfId="0" applyAlignment="1" applyBorder="1" applyFont="1" applyNumberFormat="1">
      <alignment horizontal="right" shrinkToFit="0" vertical="center" wrapText="1"/>
    </xf>
    <xf borderId="58" fillId="4" fontId="17" numFmtId="2" xfId="0" applyAlignment="1" applyBorder="1" applyFont="1" applyNumberFormat="1">
      <alignment horizontal="right" vertical="center"/>
    </xf>
    <xf borderId="19" fillId="0" fontId="17" numFmtId="4" xfId="0" applyAlignment="1" applyBorder="1" applyFont="1" applyNumberFormat="1">
      <alignment horizontal="right" vertical="center"/>
    </xf>
    <xf borderId="70" fillId="0" fontId="17" numFmtId="4" xfId="0" applyAlignment="1" applyBorder="1" applyFont="1" applyNumberFormat="1">
      <alignment horizontal="right" vertical="center"/>
    </xf>
    <xf borderId="30" fillId="0" fontId="17" numFmtId="0" xfId="0" applyAlignment="1" applyBorder="1" applyFont="1">
      <alignment shrinkToFit="0" vertical="center" wrapText="1"/>
    </xf>
    <xf borderId="59" fillId="0" fontId="19" numFmtId="0" xfId="0" applyAlignment="1" applyBorder="1" applyFont="1">
      <alignment horizontal="center" vertical="center"/>
    </xf>
    <xf borderId="17" fillId="0" fontId="43" numFmtId="0" xfId="0" applyAlignment="1" applyBorder="1" applyFont="1">
      <alignment horizontal="center" vertical="center"/>
    </xf>
    <xf borderId="67" fillId="0" fontId="17" numFmtId="4" xfId="0" applyAlignment="1" applyBorder="1" applyFont="1" applyNumberFormat="1">
      <alignment horizontal="right" vertical="center"/>
    </xf>
    <xf borderId="71" fillId="0" fontId="17" numFmtId="0" xfId="0" applyAlignment="1" applyBorder="1" applyFont="1">
      <alignment horizontal="center" vertical="center"/>
    </xf>
    <xf borderId="25" fillId="0" fontId="43" numFmtId="0" xfId="0" applyAlignment="1" applyBorder="1" applyFont="1">
      <alignment shrinkToFit="0" wrapText="1"/>
    </xf>
    <xf borderId="25" fillId="0" fontId="17" numFmtId="2" xfId="0" applyAlignment="1" applyBorder="1" applyFont="1" applyNumberFormat="1">
      <alignment vertical="center"/>
    </xf>
    <xf borderId="25" fillId="0" fontId="17" numFmtId="2" xfId="0" applyAlignment="1" applyBorder="1" applyFont="1" applyNumberFormat="1">
      <alignment horizontal="center" vertical="center"/>
    </xf>
    <xf borderId="21" fillId="0" fontId="17" numFmtId="4" xfId="0" applyAlignment="1" applyBorder="1" applyFont="1" applyNumberFormat="1">
      <alignment horizontal="center" vertical="center"/>
    </xf>
    <xf quotePrefix="1" borderId="30" fillId="0" fontId="19" numFmtId="0" xfId="0" applyAlignment="1" applyBorder="1" applyFont="1">
      <alignment horizontal="center" shrinkToFit="0" vertical="center" wrapText="1"/>
    </xf>
    <xf borderId="24" fillId="0" fontId="17" numFmtId="2" xfId="0" applyAlignment="1" applyBorder="1" applyFont="1" applyNumberFormat="1">
      <alignment vertical="center"/>
    </xf>
    <xf borderId="24" fillId="0" fontId="17" numFmtId="4" xfId="0" applyAlignment="1" applyBorder="1" applyFont="1" applyNumberFormat="1">
      <alignment vertical="center"/>
    </xf>
    <xf quotePrefix="1" borderId="62" fillId="7" fontId="15" numFmtId="0" xfId="0" applyAlignment="1" applyBorder="1" applyFill="1" applyFont="1">
      <alignment horizontal="center" vertical="center"/>
    </xf>
    <xf borderId="30" fillId="7" fontId="8" numFmtId="0" xfId="0" applyAlignment="1" applyBorder="1" applyFont="1">
      <alignment horizontal="center" vertical="center"/>
    </xf>
    <xf borderId="30" fillId="7" fontId="13" numFmtId="0" xfId="0" applyAlignment="1" applyBorder="1" applyFont="1">
      <alignment horizontal="left" vertical="center"/>
    </xf>
    <xf borderId="30" fillId="7" fontId="17" numFmtId="0" xfId="0" applyAlignment="1" applyBorder="1" applyFont="1">
      <alignment horizontal="center" vertical="center"/>
    </xf>
    <xf borderId="30" fillId="7" fontId="8" numFmtId="2" xfId="0" applyAlignment="1" applyBorder="1" applyFont="1" applyNumberFormat="1">
      <alignment horizontal="center" shrinkToFit="0" vertical="center" wrapText="1"/>
    </xf>
    <xf borderId="30" fillId="7" fontId="8" numFmtId="4" xfId="0" applyAlignment="1" applyBorder="1" applyFont="1" applyNumberFormat="1">
      <alignment horizontal="center" shrinkToFit="0" vertical="center" wrapText="1"/>
    </xf>
    <xf borderId="30" fillId="7" fontId="17" numFmtId="2" xfId="0" applyAlignment="1" applyBorder="1" applyFont="1" applyNumberFormat="1">
      <alignment horizontal="center" vertical="center"/>
    </xf>
    <xf borderId="22" fillId="7" fontId="8" numFmtId="4" xfId="0" applyAlignment="1" applyBorder="1" applyFont="1" applyNumberFormat="1">
      <alignment horizontal="center" shrinkToFit="0" vertical="center" wrapText="1"/>
    </xf>
    <xf quotePrefix="1" borderId="72" fillId="0" fontId="17" numFmtId="0" xfId="0" applyAlignment="1" applyBorder="1" applyFont="1">
      <alignment horizontal="center" vertical="center"/>
    </xf>
    <xf borderId="59" fillId="0" fontId="17" numFmtId="0" xfId="0" applyAlignment="1" applyBorder="1" applyFont="1">
      <alignment horizontal="center" shrinkToFit="0" vertical="center" wrapText="1"/>
    </xf>
    <xf quotePrefix="1" borderId="59" fillId="0" fontId="17" numFmtId="0" xfId="0" applyAlignment="1" applyBorder="1" applyFont="1">
      <alignment horizontal="left" shrinkToFit="0" vertical="center" wrapText="1"/>
    </xf>
    <xf borderId="63" fillId="4" fontId="17" numFmtId="4" xfId="0" applyAlignment="1" applyBorder="1" applyFont="1" applyNumberFormat="1">
      <alignment horizontal="right" shrinkToFit="0" vertical="center" wrapText="1"/>
    </xf>
    <xf borderId="30" fillId="0" fontId="18" numFmtId="0" xfId="0" applyAlignment="1" applyBorder="1" applyFont="1">
      <alignment horizontal="center" vertical="center"/>
    </xf>
    <xf quotePrefix="1" borderId="44" fillId="0" fontId="17" numFmtId="0" xfId="0" applyAlignment="1" applyBorder="1" applyFont="1">
      <alignment horizontal="center" vertical="center"/>
    </xf>
    <xf borderId="30" fillId="0" fontId="17" numFmtId="165" xfId="0" applyAlignment="1" applyBorder="1" applyFont="1" applyNumberFormat="1">
      <alignment horizontal="center" vertical="center"/>
    </xf>
    <xf borderId="59" fillId="0" fontId="17" numFmtId="165" xfId="0" applyAlignment="1" applyBorder="1" applyFont="1" applyNumberFormat="1">
      <alignment horizontal="center" vertical="center"/>
    </xf>
    <xf quotePrefix="1" borderId="30" fillId="0" fontId="18" numFmtId="0" xfId="0" applyAlignment="1" applyBorder="1" applyFont="1">
      <alignment horizontal="center" shrinkToFit="0" vertical="center" wrapText="1"/>
    </xf>
    <xf borderId="20" fillId="0" fontId="17" numFmtId="0" xfId="0" applyAlignment="1" applyBorder="1" applyFont="1">
      <alignment horizontal="center" shrinkToFit="0" vertical="center" wrapText="1"/>
    </xf>
    <xf borderId="25" fillId="0" fontId="17" numFmtId="2" xfId="0" applyAlignment="1" applyBorder="1" applyFont="1" applyNumberFormat="1">
      <alignment horizontal="right" vertical="center"/>
    </xf>
    <xf quotePrefix="1" borderId="61" fillId="7" fontId="15" numFmtId="0" xfId="0" applyAlignment="1" applyBorder="1" applyFont="1">
      <alignment horizontal="center" vertical="center"/>
    </xf>
    <xf borderId="32" fillId="7" fontId="8" numFmtId="0" xfId="0" applyAlignment="1" applyBorder="1" applyFont="1">
      <alignment horizontal="center" vertical="center"/>
    </xf>
    <xf borderId="73" fillId="7" fontId="15" numFmtId="0" xfId="0" applyAlignment="1" applyBorder="1" applyFont="1">
      <alignment horizontal="left" shrinkToFit="0" vertical="center" wrapText="1"/>
    </xf>
    <xf borderId="32" fillId="7" fontId="17" numFmtId="0" xfId="0" applyAlignment="1" applyBorder="1" applyFont="1">
      <alignment horizontal="center" vertical="center"/>
    </xf>
    <xf borderId="32" fillId="7" fontId="8" numFmtId="2" xfId="0" applyAlignment="1" applyBorder="1" applyFont="1" applyNumberFormat="1">
      <alignment horizontal="right" shrinkToFit="0" vertical="center" wrapText="1"/>
    </xf>
    <xf borderId="32" fillId="7" fontId="8" numFmtId="4" xfId="0" applyAlignment="1" applyBorder="1" applyFont="1" applyNumberFormat="1">
      <alignment horizontal="right" shrinkToFit="0" vertical="center" wrapText="1"/>
    </xf>
    <xf borderId="32" fillId="7" fontId="17" numFmtId="2" xfId="0" applyAlignment="1" applyBorder="1" applyFont="1" applyNumberFormat="1">
      <alignment horizontal="right" vertical="center"/>
    </xf>
    <xf borderId="33" fillId="7" fontId="8" numFmtId="4" xfId="0" applyAlignment="1" applyBorder="1" applyFont="1" applyNumberFormat="1">
      <alignment horizontal="center" shrinkToFit="0" vertical="center" wrapText="1"/>
    </xf>
    <xf quotePrefix="1" borderId="53" fillId="8" fontId="15" numFmtId="0" xfId="0" applyAlignment="1" applyBorder="1" applyFill="1" applyFont="1">
      <alignment horizontal="center" vertical="center"/>
    </xf>
    <xf borderId="58" fillId="8" fontId="8" numFmtId="0" xfId="0" applyAlignment="1" applyBorder="1" applyFont="1">
      <alignment horizontal="center" vertical="center"/>
    </xf>
    <xf borderId="30" fillId="8" fontId="15" numFmtId="0" xfId="0" applyAlignment="1" applyBorder="1" applyFont="1">
      <alignment horizontal="left" shrinkToFit="0" vertical="center" wrapText="1"/>
    </xf>
    <xf borderId="58" fillId="8" fontId="17" numFmtId="0" xfId="0" applyAlignment="1" applyBorder="1" applyFont="1">
      <alignment horizontal="center" vertical="center"/>
    </xf>
    <xf borderId="58" fillId="8" fontId="8" numFmtId="2" xfId="0" applyAlignment="1" applyBorder="1" applyFont="1" applyNumberFormat="1">
      <alignment horizontal="right" shrinkToFit="0" vertical="center" wrapText="1"/>
    </xf>
    <xf borderId="58" fillId="8" fontId="8" numFmtId="4" xfId="0" applyAlignment="1" applyBorder="1" applyFont="1" applyNumberFormat="1">
      <alignment horizontal="right" shrinkToFit="0" vertical="center" wrapText="1"/>
    </xf>
    <xf borderId="58" fillId="8" fontId="17" numFmtId="2" xfId="0" applyAlignment="1" applyBorder="1" applyFont="1" applyNumberFormat="1">
      <alignment horizontal="right" vertical="center"/>
    </xf>
    <xf borderId="74" fillId="8" fontId="8" numFmtId="4" xfId="0" applyAlignment="1" applyBorder="1" applyFont="1" applyNumberFormat="1">
      <alignment horizontal="center" shrinkToFit="0" vertical="center" wrapText="1"/>
    </xf>
    <xf borderId="30" fillId="0" fontId="17" numFmtId="170" xfId="0" applyAlignment="1" applyBorder="1" applyFont="1" applyNumberFormat="1">
      <alignment horizontal="left" shrinkToFit="0" vertical="center" wrapText="1"/>
    </xf>
    <xf borderId="0" fillId="0" fontId="11" numFmtId="170" xfId="0" applyAlignment="1" applyFont="1" applyNumberFormat="1">
      <alignment horizontal="center" vertical="center"/>
    </xf>
    <xf borderId="30" fillId="0" fontId="11" numFmtId="170" xfId="0" applyAlignment="1" applyBorder="1" applyFont="1" applyNumberFormat="1">
      <alignment horizontal="center" vertical="center"/>
    </xf>
    <xf borderId="0" fillId="0" fontId="11" numFmtId="0" xfId="0" applyAlignment="1" applyFont="1">
      <alignment horizontal="center" shrinkToFit="0" vertical="center" wrapText="1"/>
    </xf>
    <xf quotePrefix="1" borderId="75" fillId="0" fontId="17" numFmtId="0" xfId="0" applyAlignment="1" applyBorder="1" applyFont="1">
      <alignment horizontal="center" vertical="center"/>
    </xf>
    <xf borderId="28" fillId="0" fontId="11" numFmtId="170" xfId="0" applyAlignment="1" applyBorder="1" applyFont="1" applyNumberFormat="1">
      <alignment horizontal="center" vertical="center"/>
    </xf>
    <xf borderId="72" fillId="0" fontId="17" numFmtId="0" xfId="0" applyAlignment="1" applyBorder="1" applyFont="1">
      <alignment horizontal="center" vertical="center"/>
    </xf>
    <xf borderId="59" fillId="0" fontId="17" numFmtId="0" xfId="0" applyAlignment="1" applyBorder="1" applyFont="1">
      <alignment horizontal="center" vertical="center"/>
    </xf>
    <xf borderId="56" fillId="0" fontId="17" numFmtId="0" xfId="0" applyAlignment="1" applyBorder="1" applyFont="1">
      <alignment horizontal="left" vertical="center"/>
    </xf>
    <xf borderId="59" fillId="0" fontId="17" numFmtId="2" xfId="0" applyAlignment="1" applyBorder="1" applyFont="1" applyNumberFormat="1">
      <alignment horizontal="right" vertical="center"/>
    </xf>
    <xf borderId="63" fillId="0" fontId="17" numFmtId="4" xfId="0" applyAlignment="1" applyBorder="1" applyFont="1" applyNumberFormat="1">
      <alignment horizontal="right" vertical="center"/>
    </xf>
    <xf borderId="59" fillId="0" fontId="25" numFmtId="10" xfId="0" applyAlignment="1" applyBorder="1" applyFont="1" applyNumberFormat="1">
      <alignment horizontal="right" vertical="center"/>
    </xf>
    <xf borderId="60" fillId="0" fontId="15" numFmtId="4" xfId="0" applyAlignment="1" applyBorder="1" applyFont="1" applyNumberFormat="1">
      <alignment horizontal="right" vertical="center"/>
    </xf>
    <xf quotePrefix="1" borderId="53" fillId="8" fontId="25" numFmtId="0" xfId="0" applyAlignment="1" applyBorder="1" applyFont="1">
      <alignment horizontal="center" vertical="center"/>
    </xf>
    <xf borderId="30" fillId="8" fontId="25" numFmtId="0" xfId="0" applyAlignment="1" applyBorder="1" applyFont="1">
      <alignment horizontal="center" vertical="center"/>
    </xf>
    <xf borderId="30" fillId="8" fontId="25" numFmtId="0" xfId="0" applyAlignment="1" applyBorder="1" applyFont="1">
      <alignment horizontal="left" shrinkToFit="0" vertical="center" wrapText="1"/>
    </xf>
    <xf borderId="30" fillId="8" fontId="15" numFmtId="0" xfId="0" applyAlignment="1" applyBorder="1" applyFont="1">
      <alignment shrinkToFit="0" vertical="center" wrapText="1"/>
    </xf>
    <xf borderId="30" fillId="8" fontId="15" numFmtId="0" xfId="0" applyAlignment="1" applyBorder="1" applyFont="1">
      <alignment horizontal="right" shrinkToFit="0" vertical="center" wrapText="1"/>
    </xf>
    <xf borderId="22" fillId="8" fontId="15" numFmtId="0" xfId="0" applyAlignment="1" applyBorder="1" applyFont="1">
      <alignment shrinkToFit="0" vertical="center" wrapText="1"/>
    </xf>
    <xf borderId="30" fillId="0" fontId="42" numFmtId="170" xfId="0" applyAlignment="1" applyBorder="1" applyFont="1" applyNumberFormat="1">
      <alignment horizontal="center" vertical="center"/>
    </xf>
    <xf borderId="63" fillId="4" fontId="17" numFmtId="170" xfId="0" applyAlignment="1" applyBorder="1" applyFont="1" applyNumberFormat="1">
      <alignment horizontal="right" shrinkToFit="0" vertical="center" wrapText="1"/>
    </xf>
    <xf borderId="0" fillId="0" fontId="26" numFmtId="170" xfId="0" applyAlignment="1" applyFont="1" applyNumberFormat="1">
      <alignment horizontal="center" shrinkToFit="0" vertical="center" wrapText="1"/>
    </xf>
    <xf borderId="0" fillId="0" fontId="11" numFmtId="0" xfId="0" applyAlignment="1" applyFont="1">
      <alignment horizontal="left" vertical="center"/>
    </xf>
    <xf borderId="0" fillId="0" fontId="11" numFmtId="170" xfId="0" applyAlignment="1" applyFont="1" applyNumberFormat="1">
      <alignment horizontal="left" shrinkToFit="0" vertical="center" wrapText="1"/>
    </xf>
    <xf borderId="24" fillId="0" fontId="17" numFmtId="0" xfId="0" applyAlignment="1" applyBorder="1" applyFont="1">
      <alignment horizontal="left" vertical="center"/>
    </xf>
    <xf borderId="25" fillId="0" fontId="17" numFmtId="4" xfId="0" applyAlignment="1" applyBorder="1" applyFont="1" applyNumberFormat="1">
      <alignment horizontal="right" vertical="center"/>
    </xf>
    <xf borderId="51" fillId="6" fontId="15" numFmtId="2" xfId="0" applyAlignment="1" applyBorder="1" applyFont="1" applyNumberFormat="1">
      <alignment horizontal="right" shrinkToFit="0" vertical="center" wrapText="1"/>
    </xf>
    <xf quotePrefix="1" borderId="30" fillId="0" fontId="19" numFmtId="0" xfId="0" applyAlignment="1" applyBorder="1" applyFont="1">
      <alignment horizontal="center" shrinkToFit="0" vertical="center" wrapText="1"/>
    </xf>
    <xf borderId="0" fillId="0" fontId="19" numFmtId="169" xfId="0" applyAlignment="1" applyFont="1" applyNumberFormat="1">
      <alignment horizontal="center" shrinkToFit="0" vertical="center" wrapText="1"/>
    </xf>
    <xf borderId="30" fillId="0" fontId="17" numFmtId="0" xfId="0" applyAlignment="1" applyBorder="1" applyFont="1">
      <alignment horizontal="center" shrinkToFit="0" vertical="center" wrapText="1"/>
    </xf>
    <xf borderId="0" fillId="0" fontId="48" numFmtId="2" xfId="0" applyAlignment="1" applyFont="1" applyNumberFormat="1">
      <alignment horizontal="left" vertical="center"/>
    </xf>
    <xf borderId="30" fillId="4" fontId="17" numFmtId="170" xfId="0" applyAlignment="1" applyBorder="1" applyFont="1" applyNumberFormat="1">
      <alignment horizontal="right" shrinkToFit="0" vertical="center" wrapText="1"/>
    </xf>
    <xf borderId="25" fillId="0" fontId="15" numFmtId="10" xfId="0" applyAlignment="1" applyBorder="1" applyFont="1" applyNumberFormat="1">
      <alignment horizontal="right" vertical="center"/>
    </xf>
    <xf borderId="51" fillId="6" fontId="15" numFmtId="0" xfId="0" applyAlignment="1" applyBorder="1" applyFont="1">
      <alignment horizontal="left" shrinkToFit="0" vertical="center" wrapText="1"/>
    </xf>
    <xf borderId="51" fillId="3" fontId="49" numFmtId="0" xfId="0" applyAlignment="1" applyBorder="1" applyFont="1">
      <alignment horizontal="center" shrinkToFit="0" vertical="center" wrapText="1"/>
    </xf>
    <xf borderId="51" fillId="6" fontId="8" numFmtId="2" xfId="0" applyAlignment="1" applyBorder="1" applyFont="1" applyNumberFormat="1">
      <alignment horizontal="right" shrinkToFit="0" vertical="center" wrapText="1"/>
    </xf>
    <xf borderId="51" fillId="3" fontId="8" numFmtId="4" xfId="0" applyAlignment="1" applyBorder="1" applyFont="1" applyNumberFormat="1">
      <alignment horizontal="right" shrinkToFit="0" vertical="center" wrapText="1"/>
    </xf>
    <xf borderId="52" fillId="3" fontId="8" numFmtId="4" xfId="0" applyAlignment="1" applyBorder="1" applyFont="1" applyNumberFormat="1">
      <alignment horizontal="center" shrinkToFit="0" vertical="center" wrapText="1"/>
    </xf>
    <xf borderId="31" fillId="8" fontId="15" numFmtId="0" xfId="0" applyAlignment="1" applyBorder="1" applyFont="1">
      <alignment horizontal="center" vertical="center"/>
    </xf>
    <xf borderId="32" fillId="8" fontId="8" numFmtId="0" xfId="0" applyAlignment="1" applyBorder="1" applyFont="1">
      <alignment horizontal="center" vertical="center"/>
    </xf>
    <xf borderId="32" fillId="8" fontId="50" numFmtId="0" xfId="0" applyAlignment="1" applyBorder="1" applyFont="1">
      <alignment horizontal="left" shrinkToFit="0" vertical="center" wrapText="1"/>
    </xf>
    <xf borderId="32" fillId="8" fontId="49" numFmtId="0" xfId="0" applyAlignment="1" applyBorder="1" applyFont="1">
      <alignment horizontal="center" shrinkToFit="0" vertical="center" wrapText="1"/>
    </xf>
    <xf borderId="32" fillId="8" fontId="8" numFmtId="2" xfId="0" applyAlignment="1" applyBorder="1" applyFont="1" applyNumberFormat="1">
      <alignment horizontal="right" shrinkToFit="0" vertical="center" wrapText="1"/>
    </xf>
    <xf borderId="76" fillId="8" fontId="17" numFmtId="169" xfId="0" applyAlignment="1" applyBorder="1" applyFont="1" applyNumberFormat="1">
      <alignment horizontal="right" shrinkToFit="0" vertical="center" wrapText="1"/>
    </xf>
    <xf borderId="32" fillId="8" fontId="8" numFmtId="4" xfId="0" applyAlignment="1" applyBorder="1" applyFont="1" applyNumberFormat="1">
      <alignment horizontal="right" shrinkToFit="0" vertical="center" wrapText="1"/>
    </xf>
    <xf borderId="77" fillId="8" fontId="17" numFmtId="4" xfId="0" applyAlignment="1" applyBorder="1" applyFont="1" applyNumberFormat="1">
      <alignment horizontal="right" vertical="center"/>
    </xf>
    <xf borderId="52" fillId="8" fontId="17" numFmtId="4" xfId="0" applyAlignment="1" applyBorder="1" applyFont="1" applyNumberFormat="1">
      <alignment horizontal="right" vertical="center"/>
    </xf>
    <xf borderId="59" fillId="0" fontId="23" numFmtId="0" xfId="0" applyAlignment="1" applyBorder="1" applyFont="1">
      <alignment horizontal="center" vertical="center"/>
    </xf>
    <xf borderId="30" fillId="0" fontId="17" numFmtId="169" xfId="0" applyAlignment="1" applyBorder="1" applyFont="1" applyNumberFormat="1">
      <alignment horizontal="right" shrinkToFit="0" vertical="center" wrapText="1"/>
    </xf>
    <xf borderId="63" fillId="4" fontId="17" numFmtId="4" xfId="0" applyAlignment="1" applyBorder="1" applyFont="1" applyNumberFormat="1">
      <alignment horizontal="right" vertical="center"/>
    </xf>
    <xf borderId="0" fillId="0" fontId="51" numFmtId="2" xfId="0" applyAlignment="1" applyFont="1" applyNumberFormat="1">
      <alignment horizontal="center" vertical="center"/>
    </xf>
    <xf borderId="0" fillId="0" fontId="11" numFmtId="4" xfId="0" applyAlignment="1" applyFont="1" applyNumberFormat="1">
      <alignment horizontal="center" vertical="center"/>
    </xf>
    <xf borderId="38" fillId="0" fontId="17" numFmtId="0" xfId="0" applyAlignment="1" applyBorder="1" applyFont="1">
      <alignment horizontal="center" vertical="center"/>
    </xf>
    <xf quotePrefix="1" borderId="59" fillId="0" fontId="17" numFmtId="0" xfId="0" applyAlignment="1" applyBorder="1" applyFont="1">
      <alignment horizontal="center" vertical="center"/>
    </xf>
    <xf borderId="59" fillId="0" fontId="17" numFmtId="169" xfId="0" applyAlignment="1" applyBorder="1" applyFont="1" applyNumberFormat="1">
      <alignment horizontal="right" shrinkToFit="0" vertical="center" wrapText="1"/>
    </xf>
    <xf borderId="20" fillId="0" fontId="17" numFmtId="169" xfId="0" applyAlignment="1" applyBorder="1" applyFont="1" applyNumberFormat="1">
      <alignment horizontal="right" shrinkToFit="0" vertical="center" wrapText="1"/>
    </xf>
    <xf borderId="25" fillId="0" fontId="11" numFmtId="170" xfId="0" applyAlignment="1" applyBorder="1" applyFont="1" applyNumberFormat="1">
      <alignment horizontal="center" vertical="center"/>
    </xf>
    <xf borderId="55" fillId="0" fontId="17" numFmtId="169" xfId="0" applyAlignment="1" applyBorder="1" applyFont="1" applyNumberFormat="1">
      <alignment horizontal="right" shrinkToFit="0" vertical="center" wrapText="1"/>
    </xf>
    <xf borderId="25" fillId="4" fontId="17" numFmtId="4" xfId="0" applyAlignment="1" applyBorder="1" applyFont="1" applyNumberFormat="1">
      <alignment horizontal="right" vertical="center"/>
    </xf>
    <xf borderId="54" fillId="0" fontId="17" numFmtId="4" xfId="0" applyAlignment="1" applyBorder="1" applyFont="1" applyNumberFormat="1">
      <alignment horizontal="right" vertical="center"/>
    </xf>
    <xf borderId="26" fillId="0" fontId="17" numFmtId="4" xfId="0" applyAlignment="1" applyBorder="1" applyFont="1" applyNumberFormat="1">
      <alignment horizontal="right" vertical="center"/>
    </xf>
    <xf borderId="50" fillId="8" fontId="15" numFmtId="0" xfId="0" applyAlignment="1" applyBorder="1" applyFont="1">
      <alignment horizontal="center" vertical="center"/>
    </xf>
    <xf borderId="51" fillId="8" fontId="8" numFmtId="0" xfId="0" applyAlignment="1" applyBorder="1" applyFont="1">
      <alignment horizontal="center" vertical="center"/>
    </xf>
    <xf borderId="51" fillId="8" fontId="50" numFmtId="0" xfId="0" applyAlignment="1" applyBorder="1" applyFont="1">
      <alignment horizontal="left" shrinkToFit="0" vertical="center" wrapText="1"/>
    </xf>
    <xf borderId="51" fillId="8" fontId="49" numFmtId="0" xfId="0" applyAlignment="1" applyBorder="1" applyFont="1">
      <alignment horizontal="center" shrinkToFit="0" vertical="center" wrapText="1"/>
    </xf>
    <xf borderId="51" fillId="8" fontId="8" numFmtId="2" xfId="0" applyAlignment="1" applyBorder="1" applyFont="1" applyNumberFormat="1">
      <alignment horizontal="right" shrinkToFit="0" vertical="center" wrapText="1"/>
    </xf>
    <xf borderId="78" fillId="8" fontId="17" numFmtId="169" xfId="0" applyAlignment="1" applyBorder="1" applyFont="1" applyNumberFormat="1">
      <alignment horizontal="right" shrinkToFit="0" vertical="center" wrapText="1"/>
    </xf>
    <xf borderId="51" fillId="8" fontId="8" numFmtId="4" xfId="0" applyAlignment="1" applyBorder="1" applyFont="1" applyNumberFormat="1">
      <alignment horizontal="right" shrinkToFit="0" vertical="center" wrapText="1"/>
    </xf>
    <xf borderId="0" fillId="0" fontId="3" numFmtId="2" xfId="0" applyAlignment="1" applyFont="1" applyNumberFormat="1">
      <alignment horizontal="left" shrinkToFit="0" vertical="center" wrapText="1"/>
    </xf>
    <xf borderId="0" fillId="0" fontId="3" numFmtId="0" xfId="0" applyAlignment="1" applyFont="1">
      <alignment horizontal="left" shrinkToFit="0" vertical="center" wrapText="1"/>
    </xf>
    <xf borderId="25" fillId="0" fontId="17" numFmtId="169" xfId="0" applyAlignment="1" applyBorder="1" applyFont="1" applyNumberFormat="1">
      <alignment horizontal="right" shrinkToFit="0" vertical="center" wrapText="1"/>
    </xf>
    <xf borderId="79" fillId="8" fontId="15" numFmtId="0" xfId="0" applyAlignment="1" applyBorder="1" applyFont="1">
      <alignment horizontal="center" vertical="center"/>
    </xf>
    <xf borderId="58" fillId="8" fontId="50" numFmtId="0" xfId="0" applyAlignment="1" applyBorder="1" applyFont="1">
      <alignment horizontal="left" shrinkToFit="0" vertical="center" wrapText="1"/>
    </xf>
    <xf borderId="58" fillId="8" fontId="49" numFmtId="0" xfId="0" applyAlignment="1" applyBorder="1" applyFont="1">
      <alignment horizontal="center" shrinkToFit="0" vertical="center" wrapText="1"/>
    </xf>
    <xf borderId="80" fillId="8" fontId="17" numFmtId="169" xfId="0" applyAlignment="1" applyBorder="1" applyFont="1" applyNumberFormat="1">
      <alignment horizontal="right" shrinkToFit="0" vertical="center" wrapText="1"/>
    </xf>
    <xf borderId="81" fillId="8" fontId="17" numFmtId="4" xfId="0" applyAlignment="1" applyBorder="1" applyFont="1" applyNumberFormat="1">
      <alignment horizontal="right" vertical="center"/>
    </xf>
    <xf borderId="66" fillId="8" fontId="17" numFmtId="4" xfId="0" applyAlignment="1" applyBorder="1" applyFont="1" applyNumberFormat="1">
      <alignment horizontal="right" vertical="center"/>
    </xf>
    <xf quotePrefix="1" borderId="59" fillId="0" fontId="19" numFmtId="0" xfId="0" applyAlignment="1" applyBorder="1" applyFont="1">
      <alignment horizontal="center" vertical="center"/>
    </xf>
    <xf borderId="0" fillId="0" fontId="17" numFmtId="4" xfId="0" applyAlignment="1" applyFont="1" applyNumberFormat="1">
      <alignment horizontal="center" vertical="center"/>
    </xf>
    <xf borderId="0" fillId="0" fontId="52" numFmtId="4" xfId="0" applyAlignment="1" applyFont="1" applyNumberFormat="1">
      <alignment horizontal="left" vertical="center"/>
    </xf>
    <xf borderId="0" fillId="0" fontId="52" numFmtId="0" xfId="0" applyAlignment="1" applyFont="1">
      <alignment horizontal="left" vertical="center"/>
    </xf>
    <xf borderId="32" fillId="8" fontId="17" numFmtId="169" xfId="0" applyAlignment="1" applyBorder="1" applyFont="1" applyNumberFormat="1">
      <alignment horizontal="right" shrinkToFit="0" vertical="center" wrapText="1"/>
    </xf>
    <xf borderId="32" fillId="8" fontId="17" numFmtId="4" xfId="0" applyAlignment="1" applyBorder="1" applyFont="1" applyNumberFormat="1">
      <alignment horizontal="right" vertical="center"/>
    </xf>
    <xf quotePrefix="1" borderId="59" fillId="0" fontId="17" numFmtId="0" xfId="0" applyAlignment="1" applyBorder="1" applyFont="1">
      <alignment horizontal="center" shrinkToFit="0" vertical="center" wrapText="1"/>
    </xf>
    <xf borderId="79" fillId="3" fontId="8" numFmtId="166" xfId="0" applyAlignment="1" applyBorder="1" applyFont="1" applyNumberFormat="1">
      <alignment horizontal="center" vertical="center"/>
    </xf>
    <xf borderId="58" fillId="6" fontId="8" numFmtId="0" xfId="0" applyAlignment="1" applyBorder="1" applyFont="1">
      <alignment horizontal="center" vertical="center"/>
    </xf>
    <xf borderId="58" fillId="6" fontId="53" numFmtId="0" xfId="0" applyAlignment="1" applyBorder="1" applyFont="1">
      <alignment horizontal="left" shrinkToFit="0" vertical="center" wrapText="1"/>
    </xf>
    <xf borderId="58" fillId="3" fontId="49" numFmtId="0" xfId="0" applyAlignment="1" applyBorder="1" applyFont="1">
      <alignment horizontal="center" shrinkToFit="0" vertical="center" wrapText="1"/>
    </xf>
    <xf borderId="58" fillId="6" fontId="8" numFmtId="2" xfId="0" applyAlignment="1" applyBorder="1" applyFont="1" applyNumberFormat="1">
      <alignment horizontal="right" shrinkToFit="0" vertical="center" wrapText="1"/>
    </xf>
    <xf borderId="58" fillId="3" fontId="8" numFmtId="4" xfId="0" applyAlignment="1" applyBorder="1" applyFont="1" applyNumberFormat="1">
      <alignment horizontal="right" shrinkToFit="0" vertical="center" wrapText="1"/>
    </xf>
    <xf borderId="74" fillId="3" fontId="8" numFmtId="4" xfId="0" applyAlignment="1" applyBorder="1" applyFont="1" applyNumberFormat="1">
      <alignment horizontal="center" shrinkToFit="0" vertical="center" wrapText="1"/>
    </xf>
    <xf quotePrefix="1" borderId="30" fillId="0" fontId="17" numFmtId="0" xfId="0" applyAlignment="1" applyBorder="1" applyFont="1">
      <alignment shrinkToFit="0" vertical="center" wrapText="1"/>
    </xf>
    <xf borderId="30" fillId="0" fontId="17" numFmtId="2" xfId="0" applyAlignment="1" applyBorder="1" applyFont="1" applyNumberFormat="1">
      <alignment horizontal="right" vertical="center"/>
    </xf>
    <xf borderId="0" fillId="0" fontId="54" numFmtId="2" xfId="0" applyAlignment="1" applyFont="1" applyNumberFormat="1">
      <alignment horizontal="left" vertical="center"/>
    </xf>
    <xf quotePrefix="1" borderId="17" fillId="0" fontId="9" numFmtId="0" xfId="0" applyAlignment="1" applyBorder="1" applyFont="1">
      <alignment horizontal="center" shrinkToFit="0" vertical="center" wrapText="1"/>
    </xf>
    <xf quotePrefix="1" borderId="30" fillId="0" fontId="9" numFmtId="0" xfId="0" applyAlignment="1" applyBorder="1" applyFont="1">
      <alignment horizontal="center" shrinkToFit="0" vertical="center" wrapText="1"/>
    </xf>
    <xf quotePrefix="1" borderId="28" fillId="0" fontId="9" numFmtId="0" xfId="0" applyAlignment="1" applyBorder="1" applyFont="1">
      <alignment horizontal="center" shrinkToFit="0" vertical="center" wrapText="1"/>
    </xf>
    <xf borderId="30" fillId="0" fontId="17" numFmtId="0" xfId="0" applyAlignment="1" applyBorder="1" applyFont="1">
      <alignment horizontal="left" vertical="center"/>
    </xf>
    <xf borderId="59" fillId="0" fontId="43" numFmtId="0" xfId="0" applyAlignment="1" applyBorder="1" applyFont="1">
      <alignment horizontal="center" vertical="center"/>
    </xf>
    <xf borderId="22" fillId="0" fontId="17" numFmtId="169" xfId="0" applyAlignment="1" applyBorder="1" applyFont="1" applyNumberFormat="1">
      <alignment horizontal="right" vertical="center"/>
    </xf>
    <xf borderId="31" fillId="3" fontId="8" numFmtId="166" xfId="0" applyAlignment="1" applyBorder="1" applyFont="1" applyNumberFormat="1">
      <alignment horizontal="center" vertical="center"/>
    </xf>
    <xf borderId="32" fillId="3" fontId="8" numFmtId="0" xfId="0" applyAlignment="1" applyBorder="1" applyFont="1">
      <alignment horizontal="center" vertical="center"/>
    </xf>
    <xf borderId="32" fillId="6" fontId="53" numFmtId="0" xfId="0" applyAlignment="1" applyBorder="1" applyFont="1">
      <alignment horizontal="left" shrinkToFit="0" vertical="center" wrapText="1"/>
    </xf>
    <xf borderId="32" fillId="3" fontId="49" numFmtId="0" xfId="0" applyAlignment="1" applyBorder="1" applyFont="1">
      <alignment horizontal="center" shrinkToFit="0" vertical="center" wrapText="1"/>
    </xf>
    <xf borderId="32" fillId="6" fontId="8" numFmtId="2" xfId="0" applyAlignment="1" applyBorder="1" applyFont="1" applyNumberFormat="1">
      <alignment horizontal="right" shrinkToFit="0" vertical="center" wrapText="1"/>
    </xf>
    <xf borderId="32" fillId="3" fontId="8" numFmtId="4" xfId="0" applyAlignment="1" applyBorder="1" applyFont="1" applyNumberFormat="1">
      <alignment horizontal="right" shrinkToFit="0" vertical="center" wrapText="1"/>
    </xf>
    <xf borderId="33" fillId="3" fontId="8" numFmtId="4" xfId="0" applyAlignment="1" applyBorder="1" applyFont="1" applyNumberFormat="1">
      <alignment horizontal="center" shrinkToFit="0" vertical="center" wrapText="1"/>
    </xf>
    <xf borderId="0" fillId="0" fontId="41" numFmtId="0" xfId="0" applyAlignment="1" applyFont="1">
      <alignment horizontal="center" vertical="center"/>
    </xf>
    <xf borderId="82" fillId="0" fontId="9" numFmtId="0" xfId="0" applyAlignment="1" applyBorder="1" applyFont="1">
      <alignment horizontal="center" vertical="center"/>
    </xf>
    <xf borderId="83" fillId="0" fontId="8" numFmtId="0" xfId="0" applyAlignment="1" applyBorder="1" applyFont="1">
      <alignment horizontal="center" vertical="center"/>
    </xf>
    <xf borderId="84" fillId="0" fontId="10" numFmtId="0" xfId="0" applyBorder="1" applyFont="1"/>
    <xf borderId="33" fillId="0" fontId="15" numFmtId="4" xfId="0" applyAlignment="1" applyBorder="1" applyFont="1" applyNumberFormat="1">
      <alignment horizontal="right" vertical="center"/>
    </xf>
    <xf borderId="0" fillId="0" fontId="11" numFmtId="169" xfId="0" applyAlignment="1" applyFont="1" applyNumberFormat="1">
      <alignment horizontal="center" vertical="center"/>
    </xf>
    <xf borderId="0" fillId="0" fontId="11" numFmtId="171" xfId="0" applyAlignment="1" applyFont="1" applyNumberFormat="1">
      <alignment horizontal="left" vertical="center"/>
    </xf>
    <xf borderId="44" fillId="0" fontId="9" numFmtId="0" xfId="0" applyAlignment="1" applyBorder="1" applyFont="1">
      <alignment horizontal="center" vertical="center"/>
    </xf>
    <xf borderId="20" fillId="2" fontId="8" numFmtId="0" xfId="0" applyAlignment="1" applyBorder="1" applyFont="1">
      <alignment horizontal="right" shrinkToFit="0" vertical="center" wrapText="1"/>
    </xf>
    <xf borderId="85" fillId="0" fontId="10" numFmtId="0" xfId="0" applyBorder="1" applyFont="1"/>
    <xf borderId="22" fillId="0" fontId="3" numFmtId="0" xfId="0" applyAlignment="1" applyBorder="1" applyFont="1">
      <alignment vertical="center"/>
    </xf>
    <xf borderId="46" fillId="0" fontId="9" numFmtId="0" xfId="0" applyAlignment="1" applyBorder="1" applyFont="1">
      <alignment horizontal="center" vertical="center"/>
    </xf>
    <xf borderId="55" fillId="0" fontId="17" numFmtId="0" xfId="0" applyAlignment="1" applyBorder="1" applyFont="1">
      <alignment horizontal="center" shrinkToFit="0" vertical="center" wrapText="1"/>
    </xf>
    <xf borderId="0" fillId="0" fontId="55" numFmtId="0" xfId="0" applyAlignment="1" applyFont="1">
      <alignment horizontal="center" vertical="center"/>
    </xf>
    <xf borderId="0" fillId="0" fontId="41" numFmtId="0" xfId="0" applyFont="1"/>
    <xf borderId="0" fillId="0" fontId="3" numFmtId="4" xfId="0" applyFont="1" applyNumberFormat="1"/>
    <xf borderId="1" fillId="0" fontId="3" numFmtId="0" xfId="0" applyBorder="1" applyFont="1"/>
    <xf borderId="2" fillId="0" fontId="3" numFmtId="0" xfId="0" applyBorder="1" applyFont="1"/>
    <xf borderId="3" fillId="0" fontId="3" numFmtId="0" xfId="0" applyBorder="1" applyFont="1"/>
    <xf borderId="5" fillId="0" fontId="10" numFmtId="0" xfId="0" applyBorder="1" applyFont="1"/>
    <xf borderId="0" fillId="0" fontId="13" numFmtId="0" xfId="0" applyAlignment="1" applyFont="1">
      <alignment horizontal="center"/>
    </xf>
    <xf borderId="6" fillId="0" fontId="3" numFmtId="0" xfId="0" applyBorder="1" applyFont="1"/>
    <xf borderId="7" fillId="0" fontId="3" numFmtId="0" xfId="0" applyBorder="1" applyFont="1"/>
    <xf borderId="8" fillId="0" fontId="3" numFmtId="0" xfId="0" applyBorder="1" applyFont="1"/>
    <xf borderId="1" fillId="0" fontId="47" numFmtId="0" xfId="0" applyBorder="1" applyFont="1"/>
    <xf borderId="2" fillId="0" fontId="28" numFmtId="0" xfId="0" applyBorder="1" applyFont="1"/>
    <xf borderId="2" fillId="0" fontId="24" numFmtId="0" xfId="0" applyBorder="1" applyFont="1"/>
    <xf borderId="2" fillId="0" fontId="47" numFmtId="0" xfId="0" applyAlignment="1" applyBorder="1" applyFont="1">
      <alignment horizontal="right" vertical="center"/>
    </xf>
    <xf borderId="3" fillId="0" fontId="19" numFmtId="14" xfId="0" applyAlignment="1" applyBorder="1" applyFont="1" applyNumberFormat="1">
      <alignment horizontal="center" vertical="center"/>
    </xf>
    <xf borderId="4" fillId="0" fontId="25" numFmtId="0" xfId="0" applyAlignment="1" applyBorder="1" applyFont="1">
      <alignment shrinkToFit="0" vertical="center" wrapText="1"/>
    </xf>
    <xf borderId="0" fillId="0" fontId="24" numFmtId="0" xfId="0" applyFont="1"/>
    <xf borderId="6" fillId="0" fontId="25" numFmtId="0" xfId="0" applyAlignment="1" applyBorder="1" applyFont="1">
      <alignment shrinkToFit="0" vertical="center" wrapText="1"/>
    </xf>
    <xf borderId="7" fillId="0" fontId="28" numFmtId="0" xfId="0" applyBorder="1" applyFont="1"/>
    <xf borderId="7" fillId="0" fontId="24" numFmtId="0" xfId="0" applyBorder="1" applyFont="1"/>
    <xf borderId="9" fillId="0" fontId="13" numFmtId="0" xfId="0" applyAlignment="1" applyBorder="1" applyFont="1">
      <alignment horizontal="center" vertical="center"/>
    </xf>
    <xf borderId="50" fillId="3" fontId="15" numFmtId="0" xfId="0" applyAlignment="1" applyBorder="1" applyFont="1">
      <alignment horizontal="center" vertical="center"/>
    </xf>
    <xf borderId="51" fillId="6" fontId="15" numFmtId="0" xfId="0" applyAlignment="1" applyBorder="1" applyFont="1">
      <alignment shrinkToFit="0" wrapText="1"/>
    </xf>
    <xf borderId="51" fillId="3" fontId="15" numFmtId="169" xfId="0" applyAlignment="1" applyBorder="1" applyFont="1" applyNumberFormat="1">
      <alignment horizontal="center" vertical="center"/>
    </xf>
    <xf borderId="51" fillId="6" fontId="15" numFmtId="0" xfId="0" applyAlignment="1" applyBorder="1" applyFont="1">
      <alignment vertical="center"/>
    </xf>
    <xf borderId="51" fillId="6" fontId="15" numFmtId="0" xfId="0" applyAlignment="1" applyBorder="1" applyFont="1">
      <alignment horizontal="right" vertical="center"/>
    </xf>
    <xf borderId="52" fillId="6" fontId="15" numFmtId="2" xfId="0" applyAlignment="1" applyBorder="1" applyFont="1" applyNumberFormat="1">
      <alignment vertical="center"/>
    </xf>
    <xf borderId="53" fillId="0" fontId="11" numFmtId="0" xfId="0" applyAlignment="1" applyBorder="1" applyFont="1">
      <alignment vertical="center"/>
    </xf>
    <xf borderId="30" fillId="0" fontId="13" numFmtId="0" xfId="0" applyAlignment="1" applyBorder="1" applyFont="1">
      <alignment horizontal="left" shrinkToFit="0" vertical="center" wrapText="1"/>
    </xf>
    <xf borderId="30" fillId="0" fontId="13" numFmtId="0" xfId="0" applyAlignment="1" applyBorder="1" applyFont="1">
      <alignment horizontal="center" shrinkToFit="0" vertical="center" wrapText="1"/>
    </xf>
    <xf borderId="30" fillId="0" fontId="13" numFmtId="172" xfId="0" applyAlignment="1" applyBorder="1" applyFont="1" applyNumberFormat="1">
      <alignment horizontal="center" shrinkToFit="0" vertical="center" wrapText="1"/>
    </xf>
    <xf borderId="30" fillId="0" fontId="15" numFmtId="0" xfId="0" applyAlignment="1" applyBorder="1" applyFont="1">
      <alignment horizontal="center" shrinkToFit="0" vertical="center" wrapText="1"/>
    </xf>
    <xf borderId="22" fillId="0" fontId="13" numFmtId="169" xfId="0" applyAlignment="1" applyBorder="1" applyFont="1" applyNumberFormat="1">
      <alignment horizontal="center" shrinkToFit="0" vertical="center" wrapText="1"/>
    </xf>
    <xf borderId="53" fillId="0" fontId="19" numFmtId="0" xfId="0" applyAlignment="1" applyBorder="1" applyFont="1">
      <alignment horizontal="center" shrinkToFit="0" vertical="center" wrapText="1"/>
    </xf>
    <xf borderId="30" fillId="0" fontId="19" numFmtId="0" xfId="0" applyAlignment="1" applyBorder="1" applyFont="1">
      <alignment horizontal="left" shrinkToFit="0" vertical="center" wrapText="1"/>
    </xf>
    <xf borderId="30" fillId="0" fontId="11" numFmtId="0" xfId="0" applyAlignment="1" applyBorder="1" applyFont="1">
      <alignment horizontal="center" shrinkToFit="0" vertical="center" wrapText="1"/>
    </xf>
    <xf borderId="30" fillId="0" fontId="17" numFmtId="169" xfId="0" applyAlignment="1" applyBorder="1" applyFont="1" applyNumberFormat="1">
      <alignment horizontal="center" vertical="center"/>
    </xf>
    <xf borderId="22" fillId="0" fontId="28" numFmtId="169" xfId="0" applyAlignment="1" applyBorder="1" applyFont="1" applyNumberFormat="1">
      <alignment horizontal="center" shrinkToFit="0" vertical="center" wrapText="1"/>
    </xf>
    <xf borderId="30" fillId="0" fontId="19" numFmtId="0" xfId="0" applyAlignment="1" applyBorder="1" applyFont="1">
      <alignment horizontal="left" vertical="center"/>
    </xf>
    <xf borderId="30" fillId="0" fontId="19" numFmtId="2" xfId="0" applyAlignment="1" applyBorder="1" applyFont="1" applyNumberFormat="1">
      <alignment horizontal="center" vertical="center"/>
    </xf>
    <xf borderId="53" fillId="0" fontId="11" numFmtId="0" xfId="0" applyAlignment="1" applyBorder="1" applyFont="1">
      <alignment horizontal="center" vertical="center"/>
    </xf>
    <xf borderId="30" fillId="0" fontId="42" numFmtId="0" xfId="0" applyAlignment="1" applyBorder="1" applyFont="1">
      <alignment horizontal="center" shrinkToFit="0" vertical="center" wrapText="1"/>
    </xf>
    <xf borderId="30" fillId="0" fontId="11" numFmtId="172" xfId="0" applyAlignment="1" applyBorder="1" applyFont="1" applyNumberFormat="1">
      <alignment horizontal="center" shrinkToFit="0" vertical="center" wrapText="1"/>
    </xf>
    <xf borderId="30" fillId="0" fontId="15" numFmtId="4" xfId="0" applyAlignment="1" applyBorder="1" applyFont="1" applyNumberFormat="1">
      <alignment horizontal="right" vertical="center"/>
    </xf>
    <xf borderId="22" fillId="0" fontId="47" numFmtId="169" xfId="0" applyAlignment="1" applyBorder="1" applyFont="1" applyNumberFormat="1">
      <alignment horizontal="center" shrinkToFit="0" vertical="center" wrapText="1"/>
    </xf>
    <xf borderId="86" fillId="3" fontId="17" numFmtId="0" xfId="0" applyAlignment="1" applyBorder="1" applyFont="1">
      <alignment horizontal="center" vertical="center"/>
    </xf>
    <xf borderId="87" fillId="3" fontId="15" numFmtId="0" xfId="0" applyAlignment="1" applyBorder="1" applyFont="1">
      <alignment horizontal="right" shrinkToFit="0" vertical="center" wrapText="1"/>
    </xf>
    <xf borderId="88" fillId="0" fontId="10" numFmtId="0" xfId="0" applyBorder="1" applyFont="1"/>
    <xf borderId="89" fillId="0" fontId="10" numFmtId="0" xfId="0" applyBorder="1" applyFont="1"/>
    <xf borderId="90" fillId="3" fontId="25" numFmtId="169" xfId="0" applyAlignment="1" applyBorder="1" applyFont="1" applyNumberFormat="1">
      <alignment horizontal="center" shrinkToFit="0" vertical="center" wrapText="1"/>
    </xf>
    <xf borderId="91" fillId="3" fontId="17" numFmtId="0" xfId="0" applyAlignment="1" applyBorder="1" applyFont="1">
      <alignment horizontal="center" vertical="center"/>
    </xf>
    <xf borderId="92" fillId="3" fontId="25" numFmtId="0" xfId="0" applyAlignment="1" applyBorder="1" applyFont="1">
      <alignment horizontal="center" shrinkToFit="0" vertical="center" wrapText="1"/>
    </xf>
    <xf borderId="93" fillId="0" fontId="10" numFmtId="0" xfId="0" applyBorder="1" applyFont="1"/>
    <xf borderId="94" fillId="3" fontId="15" numFmtId="169" xfId="0" applyAlignment="1" applyBorder="1" applyFont="1" applyNumberFormat="1">
      <alignment horizontal="center" shrinkToFit="0" vertical="center" wrapText="1"/>
    </xf>
    <xf borderId="6" fillId="0" fontId="28" numFmtId="0" xfId="0" applyBorder="1" applyFont="1"/>
    <xf borderId="10" fillId="0" fontId="19" numFmtId="0" xfId="0" applyAlignment="1" applyBorder="1" applyFont="1">
      <alignment horizontal="left" shrinkToFit="0" vertical="center" wrapText="1"/>
    </xf>
    <xf borderId="8" fillId="0" fontId="28" numFmtId="0" xfId="0" applyBorder="1" applyFont="1"/>
    <xf borderId="0" fillId="0" fontId="24" numFmtId="0" xfId="0" applyAlignment="1" applyFont="1">
      <alignment horizontal="left" shrinkToFit="0" vertical="center" wrapText="1"/>
    </xf>
    <xf borderId="0" fillId="0" fontId="28" numFmtId="0" xfId="0" applyAlignment="1" applyFont="1">
      <alignment horizontal="center"/>
    </xf>
    <xf quotePrefix="1" borderId="78" fillId="6" fontId="15" numFmtId="0" xfId="0" applyAlignment="1" applyBorder="1" applyFont="1">
      <alignment horizontal="left" shrinkToFit="0" vertical="center" wrapText="1"/>
    </xf>
    <xf borderId="95" fillId="6" fontId="15" numFmtId="2" xfId="0" applyAlignment="1" applyBorder="1" applyFont="1" applyNumberFormat="1">
      <alignment vertical="center"/>
    </xf>
    <xf borderId="44" fillId="0" fontId="17" numFmtId="173" xfId="0" applyAlignment="1" applyBorder="1" applyFont="1" applyNumberFormat="1">
      <alignment horizontal="right" shrinkToFit="0" vertical="center" wrapText="1"/>
    </xf>
    <xf borderId="16" fillId="0" fontId="11" numFmtId="0" xfId="0" applyAlignment="1" applyBorder="1" applyFont="1">
      <alignment vertical="center"/>
    </xf>
    <xf borderId="0" fillId="0" fontId="13" numFmtId="0" xfId="0" applyAlignment="1" applyFont="1">
      <alignment horizontal="left" shrinkToFit="0" vertical="center" wrapText="1"/>
    </xf>
    <xf borderId="28" fillId="0" fontId="13" numFmtId="0" xfId="0" applyAlignment="1" applyBorder="1" applyFont="1">
      <alignment horizontal="center" shrinkToFit="0" vertical="center" wrapText="1"/>
    </xf>
    <xf borderId="28" fillId="0" fontId="13" numFmtId="172" xfId="0" applyAlignment="1" applyBorder="1" applyFont="1" applyNumberFormat="1">
      <alignment horizontal="center" shrinkToFit="0" vertical="center" wrapText="1"/>
    </xf>
    <xf borderId="58" fillId="0" fontId="15" numFmtId="0" xfId="0" applyAlignment="1" applyBorder="1" applyFont="1">
      <alignment horizontal="center" shrinkToFit="0" vertical="center" wrapText="1"/>
    </xf>
    <xf borderId="5" fillId="0" fontId="13" numFmtId="169" xfId="0" applyAlignment="1" applyBorder="1" applyFont="1" applyNumberFormat="1">
      <alignment horizontal="center" shrinkToFit="0" vertical="center" wrapText="1"/>
    </xf>
    <xf borderId="38" fillId="0" fontId="19" numFmtId="0" xfId="0" applyAlignment="1" applyBorder="1" applyFont="1">
      <alignment horizontal="center" shrinkToFit="0" vertical="center" wrapText="1"/>
    </xf>
    <xf borderId="30" fillId="0" fontId="28" numFmtId="0" xfId="0" applyAlignment="1" applyBorder="1" applyFont="1">
      <alignment horizontal="left" shrinkToFit="0" vertical="center" wrapText="1"/>
    </xf>
    <xf borderId="30" fillId="0" fontId="19" numFmtId="169" xfId="0" applyAlignment="1" applyBorder="1" applyFont="1" applyNumberFormat="1">
      <alignment horizontal="center" vertical="center"/>
    </xf>
    <xf borderId="96" fillId="0" fontId="19" numFmtId="169" xfId="0" applyAlignment="1" applyBorder="1" applyFont="1" applyNumberFormat="1">
      <alignment horizontal="center" shrinkToFit="0" vertical="center" wrapText="1"/>
    </xf>
    <xf borderId="97" fillId="0" fontId="17" numFmtId="0" xfId="0" applyAlignment="1" applyBorder="1" applyFont="1">
      <alignment horizontal="left" shrinkToFit="0" vertical="center" wrapText="1"/>
    </xf>
    <xf borderId="30" fillId="0" fontId="9" numFmtId="0" xfId="0" applyAlignment="1" applyBorder="1" applyFont="1">
      <alignment horizontal="center" shrinkToFit="0" vertical="center" wrapText="1"/>
    </xf>
    <xf borderId="30" fillId="0" fontId="17" numFmtId="172" xfId="0" applyAlignment="1" applyBorder="1" applyFont="1" applyNumberFormat="1">
      <alignment horizontal="center" shrinkToFit="0" vertical="center" wrapText="1"/>
    </xf>
    <xf borderId="96" fillId="0" fontId="15" numFmtId="169" xfId="0" applyAlignment="1" applyBorder="1" applyFont="1" applyNumberFormat="1">
      <alignment horizontal="center" shrinkToFit="0" vertical="center" wrapText="1"/>
    </xf>
    <xf borderId="97" fillId="0" fontId="15" numFmtId="0" xfId="0" applyAlignment="1" applyBorder="1" applyFont="1">
      <alignment horizontal="left" shrinkToFit="0" vertical="center" wrapText="1"/>
    </xf>
    <xf borderId="30" fillId="0" fontId="15" numFmtId="0" xfId="0" applyAlignment="1" applyBorder="1" applyFont="1">
      <alignment horizontal="center" shrinkToFit="0" vertical="center" wrapText="1"/>
    </xf>
    <xf borderId="30" fillId="0" fontId="15" numFmtId="172" xfId="0" applyAlignment="1" applyBorder="1" applyFont="1" applyNumberFormat="1">
      <alignment horizontal="center" shrinkToFit="0" vertical="center" wrapText="1"/>
    </xf>
    <xf borderId="38" fillId="0" fontId="19" numFmtId="0" xfId="0" applyAlignment="1" applyBorder="1" applyFont="1">
      <alignment horizontal="center" vertical="center"/>
    </xf>
    <xf borderId="34" fillId="0" fontId="19" numFmtId="0" xfId="0" applyAlignment="1" applyBorder="1" applyFont="1">
      <alignment horizontal="center" vertical="center"/>
    </xf>
    <xf borderId="25" fillId="0" fontId="28" numFmtId="0" xfId="0" applyAlignment="1" applyBorder="1" applyFont="1">
      <alignment horizontal="left" shrinkToFit="0" vertical="center" wrapText="1"/>
    </xf>
    <xf borderId="25" fillId="0" fontId="19" numFmtId="169" xfId="0" applyAlignment="1" applyBorder="1" applyFont="1" applyNumberFormat="1">
      <alignment horizontal="center" vertical="center"/>
    </xf>
    <xf borderId="48" fillId="0" fontId="19" numFmtId="169" xfId="0" applyAlignment="1" applyBorder="1" applyFont="1" applyNumberFormat="1">
      <alignment horizontal="center" shrinkToFit="0" vertical="center" wrapText="1"/>
    </xf>
    <xf borderId="91" fillId="0" fontId="19" numFmtId="0" xfId="0" applyAlignment="1" applyBorder="1" applyFont="1">
      <alignment horizontal="center" shrinkToFit="0" vertical="center" wrapText="1"/>
    </xf>
    <xf borderId="10" fillId="0" fontId="19" numFmtId="0" xfId="0" applyAlignment="1" applyBorder="1" applyFont="1">
      <alignment shrinkToFit="0" wrapText="1"/>
    </xf>
    <xf borderId="92" fillId="0" fontId="17" numFmtId="0" xfId="0" applyAlignment="1" applyBorder="1" applyFont="1">
      <alignment horizontal="center" vertical="center"/>
    </xf>
    <xf borderId="10" fillId="0" fontId="17" numFmtId="2" xfId="0" applyAlignment="1" applyBorder="1" applyFont="1" applyNumberFormat="1">
      <alignment horizontal="center" vertical="center"/>
    </xf>
    <xf borderId="98" fillId="0" fontId="15" numFmtId="4" xfId="0" applyAlignment="1" applyBorder="1" applyFont="1" applyNumberFormat="1">
      <alignment horizontal="right" vertical="center"/>
    </xf>
    <xf borderId="94" fillId="0" fontId="25" numFmtId="169" xfId="0" applyAlignment="1" applyBorder="1" applyFont="1" applyNumberFormat="1">
      <alignment horizontal="center" shrinkToFit="0" vertical="center" wrapText="1"/>
    </xf>
    <xf borderId="87" fillId="3" fontId="25" numFmtId="0" xfId="0" applyAlignment="1" applyBorder="1" applyFont="1">
      <alignment horizontal="right" shrinkToFit="0" vertical="center" wrapText="1"/>
    </xf>
    <xf borderId="50" fillId="3" fontId="25" numFmtId="0" xfId="0" applyAlignment="1" applyBorder="1" applyFont="1">
      <alignment horizontal="center" vertical="center"/>
    </xf>
    <xf borderId="32" fillId="6" fontId="25" numFmtId="0" xfId="0" applyAlignment="1" applyBorder="1" applyFont="1">
      <alignment horizontal="left" shrinkToFit="0" vertical="center" wrapText="1"/>
    </xf>
    <xf borderId="52" fillId="6" fontId="15" numFmtId="0" xfId="0" applyAlignment="1" applyBorder="1" applyFont="1">
      <alignment horizontal="right" vertical="center"/>
    </xf>
    <xf borderId="38" fillId="0" fontId="11" numFmtId="0" xfId="0" applyAlignment="1" applyBorder="1" applyFont="1">
      <alignment vertical="center"/>
    </xf>
    <xf borderId="97" fillId="0" fontId="13" numFmtId="0" xfId="0" applyAlignment="1" applyBorder="1" applyFont="1">
      <alignment horizontal="left" shrinkToFit="0" vertical="center" wrapText="1"/>
    </xf>
    <xf borderId="96" fillId="0" fontId="13" numFmtId="169" xfId="0" applyAlignment="1" applyBorder="1" applyFont="1" applyNumberFormat="1">
      <alignment horizontal="center" shrinkToFit="0" vertical="center" wrapText="1"/>
    </xf>
    <xf borderId="53" fillId="0" fontId="28" numFmtId="0" xfId="0" applyAlignment="1" applyBorder="1" applyFont="1">
      <alignment horizontal="center" vertical="center"/>
    </xf>
    <xf borderId="30" fillId="0" fontId="28" numFmtId="0" xfId="0" applyAlignment="1" applyBorder="1" applyFont="1">
      <alignment horizontal="left" vertical="center"/>
    </xf>
    <xf borderId="30" fillId="0" fontId="19" numFmtId="172" xfId="0" applyAlignment="1" applyBorder="1" applyFont="1" applyNumberFormat="1">
      <alignment horizontal="center" vertical="center"/>
    </xf>
    <xf borderId="96" fillId="0" fontId="28" numFmtId="169" xfId="0" applyAlignment="1" applyBorder="1" applyFont="1" applyNumberFormat="1">
      <alignment horizontal="center" shrinkToFit="0" vertical="center" wrapText="1"/>
    </xf>
    <xf borderId="38" fillId="0" fontId="28" numFmtId="0" xfId="0" applyAlignment="1" applyBorder="1" applyFont="1">
      <alignment horizontal="center" vertical="center"/>
    </xf>
    <xf borderId="38" fillId="0" fontId="11" numFmtId="0" xfId="0" applyAlignment="1" applyBorder="1" applyFont="1">
      <alignment horizontal="center" vertical="center"/>
    </xf>
    <xf borderId="97" fillId="0" fontId="11" numFmtId="0" xfId="0" applyAlignment="1" applyBorder="1" applyFont="1">
      <alignment horizontal="left" shrinkToFit="0" vertical="center" wrapText="1"/>
    </xf>
    <xf borderId="96" fillId="0" fontId="47" numFmtId="169" xfId="0" applyAlignment="1" applyBorder="1" applyFont="1" applyNumberFormat="1">
      <alignment horizontal="center" shrinkToFit="0" vertical="center" wrapText="1"/>
    </xf>
    <xf borderId="30" fillId="0" fontId="28" numFmtId="174" xfId="0" applyAlignment="1" applyBorder="1" applyFont="1" applyNumberFormat="1">
      <alignment horizontal="center" shrinkToFit="0" vertical="center" wrapText="1"/>
    </xf>
    <xf borderId="0" fillId="0" fontId="28" numFmtId="0" xfId="0" applyAlignment="1" applyFont="1">
      <alignment horizontal="left" shrinkToFit="0" vertical="center" wrapText="1"/>
    </xf>
    <xf borderId="30" fillId="0" fontId="28" numFmtId="169" xfId="0" applyAlignment="1" applyBorder="1" applyFont="1" applyNumberFormat="1">
      <alignment horizontal="center" shrinkToFit="0" vertical="center" wrapText="1"/>
    </xf>
    <xf borderId="34" fillId="0" fontId="28" numFmtId="0" xfId="0" applyAlignment="1" applyBorder="1" applyFont="1">
      <alignment horizontal="center" vertical="center"/>
    </xf>
    <xf borderId="25" fillId="0" fontId="11" numFmtId="0" xfId="0" applyAlignment="1" applyBorder="1" applyFont="1">
      <alignment horizontal="center" shrinkToFit="0" vertical="center" wrapText="1"/>
    </xf>
    <xf borderId="25" fillId="0" fontId="28" numFmtId="169" xfId="0" applyAlignment="1" applyBorder="1" applyFont="1" applyNumberFormat="1">
      <alignment horizontal="center" shrinkToFit="0" vertical="center" wrapText="1"/>
    </xf>
    <xf borderId="48" fillId="0" fontId="28" numFmtId="169" xfId="0" applyAlignment="1" applyBorder="1" applyFont="1" applyNumberFormat="1">
      <alignment horizontal="center" shrinkToFit="0" vertical="center" wrapText="1"/>
    </xf>
    <xf borderId="31" fillId="0" fontId="28" numFmtId="0" xfId="0" applyAlignment="1" applyBorder="1" applyFont="1">
      <alignment horizontal="center" vertical="center"/>
    </xf>
    <xf borderId="32" fillId="0" fontId="28" numFmtId="0" xfId="0" applyAlignment="1" applyBorder="1" applyFont="1">
      <alignment horizontal="left" shrinkToFit="0" vertical="center" wrapText="1"/>
    </xf>
    <xf borderId="32" fillId="0" fontId="11" numFmtId="0" xfId="0" applyAlignment="1" applyBorder="1" applyFont="1">
      <alignment horizontal="center" shrinkToFit="0" vertical="center" wrapText="1"/>
    </xf>
    <xf borderId="32" fillId="0" fontId="28" numFmtId="169" xfId="0" applyAlignment="1" applyBorder="1" applyFont="1" applyNumberFormat="1">
      <alignment horizontal="center" shrinkToFit="0" vertical="center" wrapText="1"/>
    </xf>
    <xf borderId="32" fillId="0" fontId="19" numFmtId="169" xfId="0" applyAlignment="1" applyBorder="1" applyFont="1" applyNumberFormat="1">
      <alignment horizontal="center" vertical="center"/>
    </xf>
    <xf borderId="3" fillId="0" fontId="28" numFmtId="169" xfId="0" applyAlignment="1" applyBorder="1" applyFont="1" applyNumberFormat="1">
      <alignment horizontal="center" shrinkToFit="0" vertical="center" wrapText="1"/>
    </xf>
    <xf borderId="30" fillId="0" fontId="56" numFmtId="0" xfId="0" applyAlignment="1" applyBorder="1" applyFont="1">
      <alignment shrinkToFit="0" wrapText="1"/>
    </xf>
    <xf borderId="30" fillId="0" fontId="11" numFmtId="2" xfId="0" applyAlignment="1" applyBorder="1" applyFont="1" applyNumberFormat="1">
      <alignment horizontal="center" vertical="center"/>
    </xf>
    <xf borderId="55" fillId="3" fontId="25" numFmtId="0" xfId="0" applyAlignment="1" applyBorder="1" applyFont="1">
      <alignment horizontal="right" shrinkToFit="0" vertical="center" wrapText="1"/>
    </xf>
    <xf borderId="99" fillId="0" fontId="10" numFmtId="0" xfId="0" applyBorder="1" applyFont="1"/>
    <xf borderId="97" fillId="0" fontId="19" numFmtId="0" xfId="0" applyAlignment="1" applyBorder="1" applyFont="1">
      <alignment horizontal="left" shrinkToFit="0" vertical="center" wrapText="1"/>
    </xf>
    <xf borderId="60" fillId="0" fontId="47" numFmtId="169" xfId="0" applyAlignment="1" applyBorder="1" applyFont="1" applyNumberFormat="1">
      <alignment horizontal="center" shrinkToFit="0" vertical="center" wrapText="1"/>
    </xf>
    <xf borderId="59" fillId="0" fontId="13" numFmtId="0" xfId="0" applyAlignment="1" applyBorder="1" applyFont="1">
      <alignment horizontal="left" shrinkToFit="0" vertical="center" wrapText="1"/>
    </xf>
    <xf borderId="53" fillId="0" fontId="19" numFmtId="0" xfId="0" applyAlignment="1" applyBorder="1" applyFont="1">
      <alignment horizontal="center" vertical="center"/>
    </xf>
    <xf borderId="30" fillId="0" fontId="19" numFmtId="175" xfId="0" applyAlignment="1" applyBorder="1" applyFont="1" applyNumberFormat="1">
      <alignment horizontal="center" vertical="center"/>
    </xf>
    <xf borderId="30" fillId="0" fontId="19" numFmtId="176" xfId="0" applyAlignment="1" applyBorder="1" applyFont="1" applyNumberFormat="1">
      <alignment horizontal="center" vertical="center"/>
    </xf>
    <xf borderId="0" fillId="0" fontId="28" numFmtId="2" xfId="0" applyAlignment="1" applyFont="1" applyNumberFormat="1">
      <alignment horizontal="right" vertical="center"/>
    </xf>
    <xf borderId="0" fillId="0" fontId="3" numFmtId="0" xfId="0" applyAlignment="1" applyFont="1">
      <alignment horizontal="left"/>
    </xf>
    <xf borderId="90" fillId="3" fontId="15" numFmtId="169" xfId="0" applyAlignment="1" applyBorder="1" applyFont="1" applyNumberFormat="1">
      <alignment horizontal="center" shrinkToFit="0" vertical="center" wrapText="1"/>
    </xf>
    <xf borderId="9" fillId="0" fontId="3" numFmtId="0" xfId="0" applyBorder="1" applyFont="1"/>
    <xf borderId="10" fillId="0" fontId="11" numFmtId="0" xfId="0" applyAlignment="1" applyBorder="1" applyFont="1">
      <alignment horizontal="center" shrinkToFit="0" vertical="center" wrapText="1"/>
    </xf>
    <xf borderId="10" fillId="0" fontId="3" numFmtId="0" xfId="0" applyAlignment="1" applyBorder="1" applyFont="1">
      <alignment horizontal="center" shrinkToFit="0" vertical="center" wrapText="1"/>
    </xf>
    <xf borderId="10" fillId="0" fontId="3" numFmtId="0" xfId="0" applyBorder="1" applyFont="1"/>
    <xf borderId="11" fillId="0" fontId="3" numFmtId="0" xfId="0" applyAlignment="1" applyBorder="1" applyFont="1">
      <alignment horizontal="center" shrinkToFit="0" vertical="center" wrapText="1"/>
    </xf>
    <xf borderId="87" fillId="3" fontId="25" numFmtId="0" xfId="0" applyAlignment="1" applyBorder="1" applyFont="1">
      <alignment horizontal="center" shrinkToFit="0" vertical="center" wrapText="1"/>
    </xf>
    <xf borderId="31" fillId="0" fontId="47" numFmtId="0" xfId="0" applyAlignment="1" applyBorder="1" applyFont="1">
      <alignment horizontal="center" shrinkToFit="0" vertical="center" wrapText="1"/>
    </xf>
    <xf borderId="32" fillId="0" fontId="15" numFmtId="0" xfId="0" applyAlignment="1" applyBorder="1" applyFont="1">
      <alignment horizontal="center" shrinkToFit="0" vertical="center" wrapText="1"/>
    </xf>
    <xf borderId="32" fillId="0" fontId="13" numFmtId="0" xfId="0" applyAlignment="1" applyBorder="1" applyFont="1">
      <alignment horizontal="center" vertical="center"/>
    </xf>
    <xf borderId="83" fillId="0" fontId="47" numFmtId="0" xfId="0" applyAlignment="1" applyBorder="1" applyFont="1">
      <alignment horizontal="center" vertical="center"/>
    </xf>
    <xf borderId="33" fillId="0" fontId="47" numFmtId="0" xfId="0" applyAlignment="1" applyBorder="1" applyFont="1">
      <alignment horizontal="center" shrinkToFit="0" vertical="center" wrapText="1"/>
    </xf>
    <xf borderId="34" fillId="0" fontId="19" numFmtId="14" xfId="0" applyAlignment="1" applyBorder="1" applyFont="1" applyNumberFormat="1">
      <alignment horizontal="center" vertical="center"/>
    </xf>
    <xf borderId="25" fillId="0" fontId="19" numFmtId="0" xfId="0" applyAlignment="1" applyBorder="1" applyFont="1">
      <alignment horizontal="left" shrinkToFit="0" vertical="center" wrapText="1"/>
    </xf>
    <xf borderId="25" fillId="0" fontId="19" numFmtId="2" xfId="0" applyAlignment="1" applyBorder="1" applyFont="1" applyNumberFormat="1">
      <alignment horizontal="center" vertical="center"/>
    </xf>
    <xf borderId="55" fillId="0" fontId="19" numFmtId="0" xfId="0" applyAlignment="1" applyBorder="1" applyFont="1">
      <alignment horizontal="center" vertical="center"/>
    </xf>
    <xf borderId="54" fillId="0" fontId="10" numFmtId="0" xfId="0" applyBorder="1" applyFont="1"/>
    <xf borderId="26" fillId="0" fontId="19" numFmtId="0" xfId="0" applyAlignment="1" applyBorder="1" applyFont="1">
      <alignment horizontal="center" shrinkToFit="0" vertical="center" wrapText="1"/>
    </xf>
    <xf borderId="0" fillId="0" fontId="33" numFmtId="0" xfId="0" applyAlignment="1" applyFont="1">
      <alignment horizontal="left" shrinkToFit="0" vertical="center" wrapText="1"/>
    </xf>
    <xf borderId="31" fillId="0" fontId="19" numFmtId="14" xfId="0" applyAlignment="1" applyBorder="1" applyFont="1" applyNumberFormat="1">
      <alignment horizontal="center" vertical="center"/>
    </xf>
    <xf borderId="32" fillId="0" fontId="19" numFmtId="0" xfId="0" applyAlignment="1" applyBorder="1" applyFont="1">
      <alignment horizontal="left" shrinkToFit="0" vertical="center" wrapText="1"/>
    </xf>
    <xf borderId="32" fillId="0" fontId="19" numFmtId="2" xfId="0" applyAlignment="1" applyBorder="1" applyFont="1" applyNumberFormat="1">
      <alignment horizontal="center" vertical="center"/>
    </xf>
    <xf borderId="83" fillId="0" fontId="19" numFmtId="0" xfId="0" applyAlignment="1" applyBorder="1" applyFont="1">
      <alignment horizontal="center" vertical="center"/>
    </xf>
    <xf borderId="33" fillId="0" fontId="19" numFmtId="0" xfId="0" applyAlignment="1" applyBorder="1" applyFont="1">
      <alignment horizontal="center" shrinkToFit="0" vertical="center" wrapText="1"/>
    </xf>
    <xf borderId="34" fillId="0" fontId="28" numFmtId="0" xfId="0" applyBorder="1" applyFont="1"/>
    <xf borderId="25" fillId="0" fontId="47" numFmtId="0" xfId="0" applyAlignment="1" applyBorder="1" applyFont="1">
      <alignment horizontal="right" vertical="center"/>
    </xf>
    <xf borderId="25" fillId="0" fontId="47" numFmtId="2" xfId="0" applyAlignment="1" applyBorder="1" applyFont="1" applyNumberFormat="1">
      <alignment horizontal="center" vertical="center"/>
    </xf>
    <xf borderId="55" fillId="0" fontId="28" numFmtId="0" xfId="0" applyAlignment="1" applyBorder="1" applyFont="1">
      <alignment horizontal="center"/>
    </xf>
    <xf borderId="26" fillId="0" fontId="28" numFmtId="0" xfId="0" applyBorder="1" applyFont="1"/>
    <xf quotePrefix="1" borderId="30" fillId="0" fontId="19" numFmtId="0" xfId="0" applyAlignment="1" applyBorder="1" applyFont="1">
      <alignment horizontal="left" shrinkToFit="0" vertical="center" wrapText="1"/>
    </xf>
    <xf borderId="96" fillId="0" fontId="11" numFmtId="169" xfId="0" applyAlignment="1" applyBorder="1" applyFont="1" applyNumberFormat="1">
      <alignment horizontal="center" shrinkToFit="0" vertical="center" wrapText="1"/>
    </xf>
    <xf borderId="27" fillId="0" fontId="19" numFmtId="0" xfId="0" applyAlignment="1" applyBorder="1" applyFont="1">
      <alignment horizontal="center" shrinkToFit="0" vertical="center" wrapText="1"/>
    </xf>
    <xf borderId="30" fillId="0" fontId="25" numFmtId="4" xfId="0" applyAlignment="1" applyBorder="1" applyFont="1" applyNumberFormat="1">
      <alignment horizontal="right" vertical="center"/>
    </xf>
    <xf borderId="22" fillId="0" fontId="15" numFmtId="169" xfId="0" applyAlignment="1" applyBorder="1" applyFont="1" applyNumberFormat="1">
      <alignment horizontal="center" shrinkToFit="0" vertical="center" wrapText="1"/>
    </xf>
    <xf borderId="64" fillId="3" fontId="17" numFmtId="0" xfId="0" applyAlignment="1" applyBorder="1" applyFont="1">
      <alignment horizontal="center" vertical="center"/>
    </xf>
    <xf borderId="100" fillId="3" fontId="25" numFmtId="0" xfId="0" applyAlignment="1" applyBorder="1" applyFont="1">
      <alignment horizontal="center" shrinkToFit="0" vertical="center" wrapText="1"/>
    </xf>
    <xf borderId="101" fillId="0" fontId="10" numFmtId="0" xfId="0" applyBorder="1" applyFont="1"/>
    <xf borderId="102" fillId="0" fontId="10" numFmtId="0" xfId="0" applyBorder="1" applyFont="1"/>
    <xf borderId="66" fillId="3" fontId="15" numFmtId="169" xfId="0" applyAlignment="1" applyBorder="1" applyFont="1" applyNumberFormat="1">
      <alignment horizontal="center" shrinkToFit="0" vertical="center" wrapText="1"/>
    </xf>
    <xf borderId="53" fillId="0" fontId="47" numFmtId="0" xfId="0" applyAlignment="1" applyBorder="1" applyFont="1">
      <alignment horizontal="center" shrinkToFit="0" vertical="center" wrapText="1"/>
    </xf>
    <xf borderId="30" fillId="0" fontId="13" numFmtId="0" xfId="0" applyAlignment="1" applyBorder="1" applyFont="1">
      <alignment horizontal="center" vertical="center"/>
    </xf>
    <xf borderId="20" fillId="0" fontId="47" numFmtId="0" xfId="0" applyAlignment="1" applyBorder="1" applyFont="1">
      <alignment horizontal="center" vertical="center"/>
    </xf>
    <xf borderId="22" fillId="0" fontId="47" numFmtId="0" xfId="0" applyAlignment="1" applyBorder="1" applyFont="1">
      <alignment horizontal="center" shrinkToFit="0" vertical="center" wrapText="1"/>
    </xf>
    <xf borderId="0" fillId="0" fontId="46" numFmtId="0" xfId="0" applyFont="1"/>
    <xf borderId="53" fillId="0" fontId="19" numFmtId="14" xfId="0" applyAlignment="1" applyBorder="1" applyFont="1" applyNumberFormat="1">
      <alignment horizontal="center" vertical="center"/>
    </xf>
    <xf borderId="22" fillId="0" fontId="28" numFmtId="0" xfId="0" applyAlignment="1" applyBorder="1" applyFont="1">
      <alignment horizontal="center" shrinkToFit="0" vertical="center" wrapText="1"/>
    </xf>
    <xf borderId="30" fillId="0" fontId="19" numFmtId="14" xfId="0" applyAlignment="1" applyBorder="1" applyFont="1" applyNumberFormat="1">
      <alignment horizontal="left" shrinkToFit="0" vertical="center" wrapText="1"/>
    </xf>
    <xf borderId="0" fillId="0" fontId="19" numFmtId="0" xfId="0" applyAlignment="1" applyFont="1">
      <alignment horizontal="left" shrinkToFit="0" vertical="center" wrapText="1"/>
    </xf>
    <xf borderId="0" fillId="0" fontId="47" numFmtId="0" xfId="0" applyAlignment="1" applyFont="1">
      <alignment horizontal="right" vertical="center"/>
    </xf>
    <xf borderId="0" fillId="0" fontId="47" numFmtId="2" xfId="0" applyAlignment="1" applyFont="1" applyNumberFormat="1">
      <alignment horizontal="center" vertical="center"/>
    </xf>
    <xf quotePrefix="1" borderId="32" fillId="6" fontId="25" numFmtId="0" xfId="0" applyAlignment="1" applyBorder="1" applyFont="1">
      <alignment horizontal="left" shrinkToFit="0" vertical="center" wrapText="1"/>
    </xf>
    <xf borderId="0" fillId="0" fontId="19" numFmtId="0" xfId="0" applyFont="1"/>
    <xf borderId="4" fillId="0" fontId="28" numFmtId="0" xfId="0" applyAlignment="1" applyBorder="1" applyFont="1">
      <alignment horizontal="center" vertical="center"/>
    </xf>
    <xf borderId="0" fillId="0" fontId="26" numFmtId="0" xfId="0" applyAlignment="1" applyFont="1">
      <alignment horizontal="left" shrinkToFit="0" vertical="center" wrapText="1"/>
    </xf>
    <xf borderId="0" fillId="0" fontId="19" numFmtId="0" xfId="0" applyAlignment="1" applyFont="1">
      <alignment vertical="center"/>
    </xf>
    <xf borderId="0" fillId="0" fontId="52" numFmtId="0" xfId="0" applyAlignment="1" applyFont="1">
      <alignment vertical="center"/>
    </xf>
    <xf borderId="0" fillId="0" fontId="15" numFmtId="2" xfId="0" applyAlignment="1" applyFont="1" applyNumberFormat="1">
      <alignment vertical="center"/>
    </xf>
    <xf borderId="0" fillId="0" fontId="37" numFmtId="173" xfId="0" applyAlignment="1" applyFont="1" applyNumberFormat="1">
      <alignment shrinkToFit="0" vertical="center" wrapText="1"/>
    </xf>
    <xf borderId="0" fillId="0" fontId="11" numFmtId="169" xfId="0" applyAlignment="1" applyFont="1" applyNumberFormat="1">
      <alignment horizontal="center" shrinkToFit="0" vertical="center" wrapText="1"/>
    </xf>
    <xf quotePrefix="1" borderId="59" fillId="0" fontId="19" numFmtId="0" xfId="0" applyAlignment="1" applyBorder="1" applyFont="1">
      <alignment horizontal="left" shrinkToFit="0" vertical="center" wrapText="1"/>
    </xf>
    <xf borderId="59" fillId="0" fontId="11" numFmtId="0" xfId="0" applyAlignment="1" applyBorder="1" applyFont="1">
      <alignment horizontal="center" shrinkToFit="0" vertical="center" wrapText="1"/>
    </xf>
    <xf borderId="59" fillId="0" fontId="19" numFmtId="172" xfId="0" applyAlignment="1" applyBorder="1" applyFont="1" applyNumberFormat="1">
      <alignment horizontal="center" vertical="center"/>
    </xf>
    <xf borderId="59" fillId="0" fontId="19" numFmtId="2" xfId="0" applyAlignment="1" applyBorder="1" applyFont="1" applyNumberFormat="1">
      <alignment horizontal="center" vertical="center"/>
    </xf>
    <xf borderId="22" fillId="0" fontId="11" numFmtId="169" xfId="0" applyAlignment="1" applyBorder="1" applyFont="1" applyNumberFormat="1">
      <alignment horizontal="center" shrinkToFit="0" vertical="center" wrapText="1"/>
    </xf>
    <xf borderId="0" fillId="0" fontId="11" numFmtId="169" xfId="0" applyAlignment="1" applyFont="1" applyNumberFormat="1">
      <alignment horizontal="left" vertical="center"/>
    </xf>
    <xf borderId="0" fillId="0" fontId="36" numFmtId="169" xfId="0" applyAlignment="1" applyFont="1" applyNumberFormat="1">
      <alignment horizontal="center" shrinkToFit="0" vertical="center" wrapText="1"/>
    </xf>
    <xf borderId="50" fillId="3" fontId="17" numFmtId="0" xfId="0" applyAlignment="1" applyBorder="1" applyFont="1">
      <alignment horizontal="center" vertical="center"/>
    </xf>
    <xf borderId="103" fillId="3" fontId="25" numFmtId="0" xfId="0" applyAlignment="1" applyBorder="1" applyFont="1">
      <alignment horizontal="center" shrinkToFit="0" vertical="center" wrapText="1"/>
    </xf>
    <xf borderId="104" fillId="0" fontId="10" numFmtId="0" xfId="0" applyBorder="1" applyFont="1"/>
    <xf borderId="105" fillId="0" fontId="10" numFmtId="0" xfId="0" applyBorder="1" applyFont="1"/>
    <xf borderId="52" fillId="3" fontId="15" numFmtId="169" xfId="0" applyAlignment="1" applyBorder="1" applyFont="1" applyNumberFormat="1">
      <alignment horizontal="center" shrinkToFit="0" vertical="center" wrapText="1"/>
    </xf>
    <xf borderId="0" fillId="0" fontId="24" numFmtId="0" xfId="0" applyAlignment="1" applyFont="1">
      <alignment shrinkToFit="0" wrapText="1"/>
    </xf>
    <xf borderId="0" fillId="0" fontId="24" numFmtId="0" xfId="0" applyAlignment="1" applyFont="1">
      <alignment horizontal="center" vertical="center"/>
    </xf>
    <xf borderId="0" fillId="0" fontId="57" numFmtId="0" xfId="0" applyAlignment="1" applyFont="1">
      <alignment horizontal="center" shrinkToFit="0" vertical="center" wrapText="1"/>
    </xf>
    <xf borderId="0" fillId="0" fontId="3" numFmtId="0" xfId="0" applyAlignment="1" applyFont="1">
      <alignment shrinkToFit="0" wrapText="1"/>
    </xf>
    <xf borderId="0" fillId="0" fontId="13" numFmtId="169" xfId="0" applyAlignment="1" applyFont="1" applyNumberFormat="1">
      <alignment horizontal="center" shrinkToFit="0" vertical="center" wrapText="1"/>
    </xf>
    <xf borderId="0" fillId="0" fontId="56" numFmtId="0" xfId="0" applyAlignment="1" applyFont="1">
      <alignment shrinkToFit="0" wrapText="1"/>
    </xf>
    <xf borderId="0" fillId="0" fontId="47" numFmtId="169" xfId="0" applyAlignment="1" applyFont="1" applyNumberFormat="1">
      <alignment horizontal="center" shrinkToFit="0" vertical="center" wrapText="1"/>
    </xf>
    <xf borderId="106" fillId="6" fontId="25" numFmtId="0" xfId="0" applyAlignment="1" applyBorder="1" applyFont="1">
      <alignment horizontal="left" shrinkToFit="0" vertical="center" wrapText="1"/>
    </xf>
    <xf borderId="106" fillId="3" fontId="15" numFmtId="169" xfId="0" applyAlignment="1" applyBorder="1" applyFont="1" applyNumberFormat="1">
      <alignment horizontal="center" vertical="center"/>
    </xf>
    <xf borderId="106" fillId="6" fontId="15" numFmtId="0" xfId="0" applyAlignment="1" applyBorder="1" applyFont="1">
      <alignment vertical="center"/>
    </xf>
    <xf borderId="106" fillId="6" fontId="15" numFmtId="0" xfId="0" applyAlignment="1" applyBorder="1" applyFont="1">
      <alignment horizontal="right" vertical="center"/>
    </xf>
    <xf borderId="94" fillId="6" fontId="15" numFmtId="2" xfId="0" applyAlignment="1" applyBorder="1" applyFont="1" applyNumberFormat="1">
      <alignment vertical="center"/>
    </xf>
    <xf borderId="0" fillId="0" fontId="15" numFmtId="169" xfId="0" applyAlignment="1" applyFont="1" applyNumberFormat="1">
      <alignment horizontal="center" shrinkToFit="0" vertical="center" wrapText="1"/>
    </xf>
    <xf borderId="82" fillId="0" fontId="17" numFmtId="173" xfId="0" applyAlignment="1" applyBorder="1" applyFont="1" applyNumberFormat="1">
      <alignment horizontal="right" shrinkToFit="0" vertical="center" wrapText="1"/>
    </xf>
    <xf borderId="107" fillId="0" fontId="10" numFmtId="0" xfId="0" applyBorder="1" applyFont="1"/>
    <xf borderId="60" fillId="0" fontId="13" numFmtId="169" xfId="0" applyAlignment="1" applyBorder="1" applyFont="1" applyNumberFormat="1">
      <alignment horizontal="center" shrinkToFit="0" vertical="center" wrapText="1"/>
    </xf>
    <xf borderId="21" fillId="0" fontId="19" numFmtId="0" xfId="0" applyAlignment="1" applyBorder="1" applyFont="1">
      <alignment horizontal="left" shrinkToFit="0" vertical="center" wrapText="1"/>
    </xf>
    <xf borderId="27" fillId="0" fontId="19" numFmtId="0" xfId="0" applyAlignment="1" applyBorder="1" applyFont="1">
      <alignment horizontal="center" vertical="center"/>
    </xf>
    <xf borderId="91" fillId="0" fontId="17" numFmtId="0" xfId="0" applyAlignment="1" applyBorder="1" applyFont="1">
      <alignment horizontal="center" vertical="center"/>
    </xf>
    <xf borderId="106" fillId="0" fontId="17" numFmtId="0" xfId="0" applyAlignment="1" applyBorder="1" applyFont="1">
      <alignment horizontal="center" shrinkToFit="0" vertical="center" wrapText="1"/>
    </xf>
    <xf borderId="92" fillId="0" fontId="17" numFmtId="0" xfId="0" applyAlignment="1" applyBorder="1" applyFont="1">
      <alignment horizontal="center" shrinkToFit="0" vertical="center" wrapText="1"/>
    </xf>
    <xf borderId="94" fillId="0" fontId="17" numFmtId="169" xfId="0" applyAlignment="1" applyBorder="1" applyFont="1" applyNumberFormat="1">
      <alignment horizontal="center" shrinkToFit="0" vertical="center" wrapText="1"/>
    </xf>
    <xf borderId="0" fillId="0" fontId="41" numFmtId="0" xfId="0" applyAlignment="1" applyFont="1">
      <alignment horizontal="left" vertical="center"/>
    </xf>
    <xf borderId="22" fillId="0" fontId="19" numFmtId="0" xfId="0" applyAlignment="1" applyBorder="1" applyFont="1">
      <alignment horizontal="center" shrinkToFit="0" vertical="center" wrapText="1"/>
    </xf>
    <xf borderId="0" fillId="0" fontId="28" numFmtId="0" xfId="0" applyAlignment="1" applyFont="1">
      <alignment horizontal="center" vertical="center"/>
    </xf>
    <xf borderId="0" fillId="0" fontId="28" numFmtId="169" xfId="0" applyAlignment="1" applyFont="1" applyNumberFormat="1">
      <alignment horizontal="center" shrinkToFit="0" vertical="center" wrapText="1"/>
    </xf>
    <xf borderId="51" fillId="6" fontId="25" numFmtId="0" xfId="0" applyAlignment="1" applyBorder="1" applyFont="1">
      <alignment horizontal="left" shrinkToFit="0" vertical="center" wrapText="1"/>
    </xf>
    <xf borderId="20" fillId="0" fontId="17" numFmtId="173" xfId="0" applyAlignment="1" applyBorder="1" applyFont="1" applyNumberFormat="1">
      <alignment horizontal="right" shrinkToFit="0" vertical="center" wrapText="1"/>
    </xf>
    <xf borderId="27" fillId="0" fontId="11" numFmtId="0" xfId="0" applyAlignment="1" applyBorder="1" applyFont="1">
      <alignment vertical="center"/>
    </xf>
    <xf borderId="28" fillId="0" fontId="13" numFmtId="0" xfId="0" applyAlignment="1" applyBorder="1" applyFont="1">
      <alignment horizontal="left" shrinkToFit="0" vertical="center" wrapText="1"/>
    </xf>
    <xf borderId="29" fillId="0" fontId="13" numFmtId="169" xfId="0" applyAlignment="1" applyBorder="1" applyFont="1" applyNumberFormat="1">
      <alignment horizontal="center" shrinkToFit="0" vertical="center" wrapText="1"/>
    </xf>
    <xf borderId="59" fillId="0" fontId="11" numFmtId="2" xfId="0" applyAlignment="1" applyBorder="1" applyFont="1" applyNumberFormat="1">
      <alignment horizontal="center" shrinkToFit="0" vertical="center" wrapText="1"/>
    </xf>
    <xf borderId="0" fillId="0" fontId="18" numFmtId="2" xfId="0" applyAlignment="1" applyFont="1" applyNumberFormat="1">
      <alignment horizontal="center" vertical="center"/>
    </xf>
    <xf borderId="17" fillId="0" fontId="19" numFmtId="2" xfId="0" applyAlignment="1" applyBorder="1" applyFont="1" applyNumberFormat="1">
      <alignment horizontal="center" vertical="center"/>
    </xf>
    <xf borderId="4" fillId="0" fontId="28" numFmtId="0" xfId="0" applyBorder="1" applyFont="1"/>
    <xf borderId="30" fillId="0" fontId="37" numFmtId="169" xfId="0" applyAlignment="1" applyBorder="1" applyFont="1" applyNumberFormat="1">
      <alignment horizontal="center" vertical="center"/>
    </xf>
    <xf borderId="34" fillId="0" fontId="19" numFmtId="0" xfId="0" applyAlignment="1" applyBorder="1" applyFont="1">
      <alignment horizontal="center" shrinkToFit="0" vertical="center" wrapText="1"/>
    </xf>
    <xf borderId="47" fillId="0" fontId="56" numFmtId="0" xfId="0" applyAlignment="1" applyBorder="1" applyFont="1">
      <alignment shrinkToFit="0" wrapText="1"/>
    </xf>
    <xf borderId="47" fillId="0" fontId="11" numFmtId="2" xfId="0" applyAlignment="1" applyBorder="1" applyFont="1" applyNumberFormat="1">
      <alignment horizontal="center" vertical="center"/>
    </xf>
    <xf borderId="108" fillId="0" fontId="15" numFmtId="4" xfId="0" applyAlignment="1" applyBorder="1" applyFont="1" applyNumberFormat="1">
      <alignment horizontal="right" vertical="center"/>
    </xf>
    <xf borderId="48" fillId="0" fontId="13" numFmtId="169" xfId="0" applyAlignment="1" applyBorder="1" applyFont="1" applyNumberFormat="1">
      <alignment horizontal="center" shrinkToFit="0" vertical="center" wrapText="1"/>
    </xf>
    <xf borderId="92" fillId="3" fontId="15" numFmtId="0" xfId="0" applyAlignment="1" applyBorder="1" applyFont="1">
      <alignment horizontal="right" shrinkToFit="0" vertical="center" wrapText="1"/>
    </xf>
    <xf borderId="30" fillId="0" fontId="28" numFmtId="0" xfId="0" applyAlignment="1" applyBorder="1" applyFont="1">
      <alignment horizontal="center" shrinkToFit="0" vertical="center" wrapText="1"/>
    </xf>
    <xf borderId="30" fillId="0" fontId="28" numFmtId="172" xfId="0" applyAlignment="1" applyBorder="1" applyFont="1" applyNumberFormat="1">
      <alignment horizontal="center" shrinkToFit="0" vertical="center" wrapText="1"/>
    </xf>
    <xf borderId="30" fillId="0" fontId="19" numFmtId="2" xfId="0" applyAlignment="1" applyBorder="1" applyFont="1" applyNumberFormat="1">
      <alignment horizontal="center" shrinkToFit="0" vertical="center" wrapText="1"/>
    </xf>
    <xf borderId="30" fillId="0" fontId="19" numFmtId="0" xfId="0" applyAlignment="1" applyBorder="1" applyFont="1">
      <alignment horizontal="center" shrinkToFit="0" vertical="center" wrapText="1"/>
    </xf>
    <xf borderId="9" fillId="0" fontId="19" numFmtId="0" xfId="0" applyAlignment="1" applyBorder="1" applyFont="1">
      <alignment shrinkToFit="0" vertical="center" wrapText="1"/>
    </xf>
    <xf borderId="10" fillId="0" fontId="19" numFmtId="0" xfId="0" applyAlignment="1" applyBorder="1" applyFont="1">
      <alignment shrinkToFit="0" vertical="center" wrapText="1"/>
    </xf>
    <xf borderId="10" fillId="0" fontId="19" numFmtId="0" xfId="0" applyAlignment="1" applyBorder="1" applyFont="1">
      <alignment horizontal="center" shrinkToFit="0" vertical="center" wrapText="1"/>
    </xf>
    <xf borderId="11" fillId="0" fontId="19" numFmtId="0" xfId="0" applyAlignment="1" applyBorder="1" applyFont="1">
      <alignment shrinkToFit="0" vertical="center" wrapText="1"/>
    </xf>
    <xf borderId="44" fillId="0" fontId="19" numFmtId="173" xfId="0" applyAlignment="1" applyBorder="1" applyFont="1" applyNumberFormat="1">
      <alignment horizontal="right" shrinkToFit="0" vertical="center" wrapText="1"/>
    </xf>
    <xf borderId="109" fillId="0" fontId="15" numFmtId="4" xfId="0" applyAlignment="1" applyBorder="1" applyFont="1" applyNumberFormat="1">
      <alignment horizontal="right" vertical="center"/>
    </xf>
    <xf borderId="55" fillId="3" fontId="15" numFmtId="0" xfId="0" applyAlignment="1" applyBorder="1" applyFont="1">
      <alignment horizontal="right" shrinkToFit="0" vertical="center" wrapText="1"/>
    </xf>
    <xf borderId="27" fillId="0" fontId="28" numFmtId="0" xfId="0" applyAlignment="1" applyBorder="1" applyFont="1">
      <alignment horizontal="center" vertical="center"/>
    </xf>
    <xf borderId="28" fillId="0" fontId="28" numFmtId="0" xfId="0" applyAlignment="1" applyBorder="1" applyFont="1">
      <alignment horizontal="left" shrinkToFit="0" vertical="center" wrapText="1"/>
    </xf>
    <xf borderId="28" fillId="0" fontId="11" numFmtId="0" xfId="0" applyAlignment="1" applyBorder="1" applyFont="1">
      <alignment horizontal="center" shrinkToFit="0" vertical="center" wrapText="1"/>
    </xf>
    <xf borderId="28" fillId="0" fontId="19" numFmtId="172" xfId="0" applyAlignment="1" applyBorder="1" applyFont="1" applyNumberFormat="1">
      <alignment horizontal="center" vertical="center"/>
    </xf>
    <xf borderId="5" fillId="0" fontId="28" numFmtId="169" xfId="0" applyAlignment="1" applyBorder="1" applyFont="1" applyNumberFormat="1">
      <alignment horizontal="center" shrinkToFit="0" vertical="center" wrapText="1"/>
    </xf>
    <xf borderId="59" fillId="0" fontId="28" numFmtId="0" xfId="0" applyAlignment="1" applyBorder="1" applyFont="1">
      <alignment horizontal="left" shrinkToFit="0" vertical="center" wrapText="1"/>
    </xf>
    <xf borderId="59" fillId="0" fontId="19" numFmtId="169" xfId="0" applyAlignment="1" applyBorder="1" applyFont="1" applyNumberFormat="1">
      <alignment horizontal="center" vertical="center"/>
    </xf>
    <xf borderId="30" fillId="0" fontId="28" numFmtId="0" xfId="0" applyAlignment="1" applyBorder="1" applyFont="1">
      <alignment horizontal="center" vertical="center"/>
    </xf>
    <xf borderId="32" fillId="3" fontId="15" numFmtId="169" xfId="0" applyAlignment="1" applyBorder="1" applyFont="1" applyNumberFormat="1">
      <alignment horizontal="center" vertical="center"/>
    </xf>
    <xf borderId="32" fillId="6" fontId="15" numFmtId="0" xfId="0" applyAlignment="1" applyBorder="1" applyFont="1">
      <alignment vertical="center"/>
    </xf>
    <xf borderId="32" fillId="6" fontId="15" numFmtId="0" xfId="0" applyAlignment="1" applyBorder="1" applyFont="1">
      <alignment horizontal="right" vertical="center"/>
    </xf>
    <xf borderId="33" fillId="6" fontId="15" numFmtId="2" xfId="0" applyAlignment="1" applyBorder="1" applyFont="1" applyNumberFormat="1">
      <alignment vertical="center"/>
    </xf>
    <xf borderId="30" fillId="0" fontId="28" numFmtId="0" xfId="0" applyBorder="1" applyFont="1"/>
    <xf borderId="59" fillId="0" fontId="13" numFmtId="0" xfId="0" applyAlignment="1" applyBorder="1" applyFont="1">
      <alignment horizontal="center" shrinkToFit="0" vertical="center" wrapText="1"/>
    </xf>
    <xf borderId="59" fillId="0" fontId="13" numFmtId="172" xfId="0" applyAlignment="1" applyBorder="1" applyFont="1" applyNumberFormat="1">
      <alignment horizontal="center" shrinkToFit="0" vertical="center" wrapText="1"/>
    </xf>
    <xf borderId="65" fillId="0" fontId="15" numFmtId="0" xfId="0" applyAlignment="1" applyBorder="1" applyFont="1">
      <alignment horizontal="center" shrinkToFit="0" vertical="center" wrapText="1"/>
    </xf>
    <xf borderId="32" fillId="6" fontId="58" numFmtId="0" xfId="0" applyAlignment="1" applyBorder="1" applyFont="1">
      <alignment horizontal="left" shrinkToFit="0" vertical="center" wrapText="1"/>
    </xf>
    <xf borderId="32" fillId="6" fontId="15" numFmtId="0" xfId="0" applyAlignment="1" applyBorder="1" applyFont="1">
      <alignment horizontal="center" vertical="center"/>
    </xf>
    <xf borderId="46" fillId="0" fontId="17" numFmtId="173" xfId="0" applyAlignment="1" applyBorder="1" applyFont="1" applyNumberFormat="1">
      <alignment horizontal="right" shrinkToFit="0" vertical="center" wrapText="1"/>
    </xf>
    <xf borderId="12" fillId="0" fontId="11" numFmtId="0" xfId="0" applyAlignment="1" applyBorder="1" applyFont="1">
      <alignment vertical="center"/>
    </xf>
    <xf borderId="2" fillId="0" fontId="13" numFmtId="0" xfId="0" applyAlignment="1" applyBorder="1" applyFont="1">
      <alignment horizontal="left" shrinkToFit="0" vertical="center" wrapText="1"/>
    </xf>
    <xf borderId="32" fillId="0" fontId="13" numFmtId="0" xfId="0" applyAlignment="1" applyBorder="1" applyFont="1">
      <alignment horizontal="center" shrinkToFit="0" vertical="center" wrapText="1"/>
    </xf>
    <xf borderId="32" fillId="0" fontId="13" numFmtId="172" xfId="0" applyAlignment="1" applyBorder="1" applyFont="1" applyNumberFormat="1">
      <alignment horizontal="center" shrinkToFit="0" vertical="center" wrapText="1"/>
    </xf>
    <xf borderId="3" fillId="0" fontId="13" numFmtId="169" xfId="0" applyAlignment="1" applyBorder="1" applyFont="1" applyNumberFormat="1">
      <alignment horizontal="center" shrinkToFit="0" vertical="center" wrapText="1"/>
    </xf>
    <xf borderId="22" fillId="0" fontId="59" numFmtId="0" xfId="0" applyAlignment="1" applyBorder="1" applyFont="1">
      <alignment horizontal="center" shrinkToFit="0" vertical="center" wrapText="1"/>
    </xf>
    <xf borderId="97" fillId="0" fontId="28" numFmtId="0" xfId="0" applyBorder="1" applyFont="1"/>
    <xf borderId="30" fillId="0" fontId="19" numFmtId="169" xfId="0" applyAlignment="1" applyBorder="1" applyFont="1" applyNumberFormat="1">
      <alignment horizontal="center" shrinkToFit="0" vertical="center" wrapText="1"/>
    </xf>
    <xf borderId="23" fillId="0" fontId="28" numFmtId="0" xfId="0" applyBorder="1" applyFont="1"/>
    <xf borderId="24" fillId="0" fontId="47" numFmtId="0" xfId="0" applyAlignment="1" applyBorder="1" applyFont="1">
      <alignment horizontal="right" vertical="center"/>
    </xf>
    <xf borderId="24" fillId="0" fontId="47" numFmtId="2" xfId="0" applyAlignment="1" applyBorder="1" applyFont="1" applyNumberFormat="1">
      <alignment horizontal="center" vertical="center"/>
    </xf>
    <xf borderId="68" fillId="0" fontId="28" numFmtId="0" xfId="0" applyAlignment="1" applyBorder="1" applyFont="1">
      <alignment horizontal="center"/>
    </xf>
    <xf borderId="110" fillId="0" fontId="10" numFmtId="0" xfId="0" applyBorder="1" applyFont="1"/>
    <xf borderId="35" fillId="0" fontId="28" numFmtId="0" xfId="0" applyBorder="1" applyFont="1"/>
    <xf borderId="72" fillId="0" fontId="17" numFmtId="173" xfId="0" applyAlignment="1" applyBorder="1" applyFont="1" applyNumberFormat="1">
      <alignment horizontal="right" shrinkToFit="0" vertical="center" wrapText="1"/>
    </xf>
    <xf borderId="97" fillId="0" fontId="10" numFmtId="0" xfId="0" applyBorder="1" applyFont="1"/>
    <xf borderId="96" fillId="0" fontId="10" numFmtId="0" xfId="0" applyBorder="1" applyFont="1"/>
    <xf borderId="0" fillId="0" fontId="56" numFmtId="0" xfId="0" applyAlignment="1" applyFont="1">
      <alignment horizontal="left" vertical="center"/>
    </xf>
    <xf borderId="0" fillId="0" fontId="18" numFmtId="0" xfId="0" applyAlignment="1" applyFont="1">
      <alignment horizontal="left" shrinkToFit="0" vertical="center" wrapText="1"/>
    </xf>
    <xf borderId="59" fillId="0" fontId="42" numFmtId="0" xfId="0" applyAlignment="1" applyBorder="1" applyFont="1">
      <alignment horizontal="center" shrinkToFit="0" vertical="center" wrapText="1"/>
    </xf>
    <xf borderId="59" fillId="0" fontId="11" numFmtId="172" xfId="0" applyAlignment="1" applyBorder="1" applyFont="1" applyNumberFormat="1">
      <alignment horizontal="center" shrinkToFit="0" vertical="center" wrapText="1"/>
    </xf>
    <xf borderId="63" fillId="0" fontId="15" numFmtId="4" xfId="0" applyAlignment="1" applyBorder="1" applyFont="1" applyNumberFormat="1">
      <alignment horizontal="right" vertical="center"/>
    </xf>
    <xf borderId="25" fillId="0" fontId="56" numFmtId="0" xfId="0" applyAlignment="1" applyBorder="1" applyFont="1">
      <alignment shrinkToFit="0" wrapText="1"/>
    </xf>
    <xf borderId="25" fillId="0" fontId="11" numFmtId="2" xfId="0" applyAlignment="1" applyBorder="1" applyFont="1" applyNumberFormat="1">
      <alignment horizontal="center" vertical="center"/>
    </xf>
    <xf borderId="25" fillId="0" fontId="15" numFmtId="4" xfId="0" applyAlignment="1" applyBorder="1" applyFont="1" applyNumberFormat="1">
      <alignment horizontal="right" vertical="center"/>
    </xf>
    <xf borderId="26" fillId="0" fontId="47" numFmtId="169" xfId="0" applyAlignment="1" applyBorder="1" applyFont="1" applyNumberFormat="1">
      <alignment horizontal="center" shrinkToFit="0" vertical="center" wrapText="1"/>
    </xf>
    <xf borderId="111" fillId="0" fontId="10" numFmtId="0" xfId="0" applyBorder="1" applyFont="1"/>
    <xf borderId="112" fillId="6" fontId="25" numFmtId="0" xfId="0" applyAlignment="1" applyBorder="1" applyFont="1">
      <alignment horizontal="left" shrinkToFit="0" vertical="center" wrapText="1"/>
    </xf>
    <xf borderId="39" fillId="0" fontId="11" numFmtId="0" xfId="0" applyAlignment="1" applyBorder="1" applyFont="1">
      <alignment horizontal="center" shrinkToFit="0" vertical="center" wrapText="1"/>
    </xf>
    <xf borderId="48" fillId="0" fontId="47" numFmtId="169" xfId="0" applyAlignment="1" applyBorder="1" applyFont="1" applyNumberFormat="1">
      <alignment horizontal="center" shrinkToFit="0" vertical="center" wrapText="1"/>
    </xf>
    <xf borderId="94" fillId="3" fontId="25" numFmtId="169" xfId="0" applyAlignment="1" applyBorder="1" applyFont="1" applyNumberFormat="1">
      <alignment horizontal="center" shrinkToFit="0" vertical="center" wrapText="1"/>
    </xf>
    <xf borderId="0" fillId="0" fontId="19" numFmtId="0" xfId="0" applyAlignment="1" applyFont="1">
      <alignment horizontal="center" vertical="center"/>
    </xf>
    <xf borderId="0" fillId="0" fontId="19" numFmtId="176" xfId="0" applyAlignment="1" applyFont="1" applyNumberFormat="1">
      <alignment horizontal="center" vertical="center"/>
    </xf>
    <xf borderId="25" fillId="0" fontId="19" numFmtId="176" xfId="0" applyAlignment="1" applyBorder="1" applyFont="1" applyNumberFormat="1">
      <alignment horizontal="center" vertical="center"/>
    </xf>
    <xf borderId="2" fillId="0" fontId="28" numFmtId="0" xfId="0" applyAlignment="1" applyBorder="1" applyFont="1">
      <alignment horizontal="left" shrinkToFit="0" vertical="center" wrapText="1"/>
    </xf>
    <xf borderId="32" fillId="0" fontId="19" numFmtId="176" xfId="0" applyAlignment="1" applyBorder="1" applyFont="1" applyNumberFormat="1">
      <alignment horizontal="center" vertical="center"/>
    </xf>
    <xf borderId="0" fillId="0" fontId="19" numFmtId="14" xfId="0" applyAlignment="1" applyFont="1" applyNumberFormat="1">
      <alignment horizontal="center" vertical="center"/>
    </xf>
    <xf borderId="0" fillId="0" fontId="28" numFmtId="0" xfId="0" applyAlignment="1" applyFont="1">
      <alignment horizontal="center" shrinkToFit="0" vertical="center" wrapText="1"/>
    </xf>
    <xf borderId="20" fillId="0" fontId="11" numFmtId="0" xfId="0" applyAlignment="1" applyBorder="1" applyFont="1">
      <alignment horizontal="center" shrinkToFit="0" vertical="center" wrapText="1"/>
    </xf>
    <xf borderId="0" fillId="0" fontId="15" numFmtId="0" xfId="0" applyAlignment="1" applyFont="1">
      <alignment horizontal="right" shrinkToFit="0" vertical="center" wrapText="1"/>
    </xf>
    <xf borderId="0" fillId="0" fontId="25" numFmtId="169" xfId="0" applyAlignment="1" applyFont="1" applyNumberFormat="1">
      <alignment horizontal="center" shrinkToFit="0" vertical="center" wrapText="1"/>
    </xf>
    <xf borderId="97" fillId="0" fontId="56" numFmtId="0" xfId="0" applyAlignment="1" applyBorder="1" applyFont="1">
      <alignment horizontal="left" shrinkToFit="0" vertical="center" wrapText="1"/>
    </xf>
    <xf borderId="0" fillId="0" fontId="25" numFmtId="0" xfId="0" applyAlignment="1" applyFont="1">
      <alignment horizontal="left" shrinkToFit="0" vertical="center" wrapText="1"/>
    </xf>
    <xf borderId="0" fillId="0" fontId="15" numFmtId="169" xfId="0" applyAlignment="1" applyFont="1" applyNumberFormat="1">
      <alignment horizontal="center" vertical="center"/>
    </xf>
    <xf borderId="0" fillId="0" fontId="15" numFmtId="0" xfId="0" applyAlignment="1" applyFont="1">
      <alignment vertical="center"/>
    </xf>
    <xf borderId="0" fillId="0" fontId="15" numFmtId="0" xfId="0" applyAlignment="1" applyFont="1">
      <alignment horizontal="right" vertical="center"/>
    </xf>
    <xf borderId="0" fillId="0" fontId="28" numFmtId="0" xfId="0" applyAlignment="1" applyFont="1">
      <alignment shrinkToFit="0" vertical="center" wrapText="1"/>
    </xf>
    <xf borderId="3" fillId="0" fontId="30" numFmtId="14" xfId="0" applyAlignment="1" applyBorder="1" applyFont="1" applyNumberFormat="1">
      <alignment horizontal="center" vertical="center"/>
    </xf>
    <xf borderId="9" fillId="0" fontId="5" numFmtId="0" xfId="0" applyAlignment="1" applyBorder="1" applyFont="1">
      <alignment horizontal="center" vertical="center"/>
    </xf>
    <xf borderId="91" fillId="3" fontId="25" numFmtId="0" xfId="0" applyAlignment="1" applyBorder="1" applyFont="1">
      <alignment horizontal="center" vertical="center"/>
    </xf>
    <xf borderId="106" fillId="6" fontId="25" numFmtId="0" xfId="0" applyAlignment="1" applyBorder="1" applyFont="1">
      <alignment shrinkToFit="0" vertical="center" wrapText="1"/>
    </xf>
    <xf borderId="106" fillId="3" fontId="17" numFmtId="169" xfId="0" applyAlignment="1" applyBorder="1" applyFont="1" applyNumberFormat="1">
      <alignment vertical="center"/>
    </xf>
    <xf borderId="94" fillId="3" fontId="17" numFmtId="169" xfId="0" applyAlignment="1" applyBorder="1" applyFont="1" applyNumberFormat="1">
      <alignment horizontal="center" vertical="center"/>
    </xf>
    <xf borderId="0" fillId="0" fontId="13" numFmtId="0" xfId="0" applyAlignment="1" applyFont="1">
      <alignment horizontal="left" vertical="center"/>
    </xf>
    <xf borderId="82" fillId="0" fontId="19" numFmtId="0" xfId="0" applyAlignment="1" applyBorder="1" applyFont="1">
      <alignment horizontal="right" shrinkToFit="0" vertical="center" wrapText="1"/>
    </xf>
    <xf borderId="0" fillId="0" fontId="60" numFmtId="0" xfId="0" applyAlignment="1" applyFont="1">
      <alignment horizontal="center" vertical="center"/>
    </xf>
    <xf borderId="53" fillId="2" fontId="15" numFmtId="0" xfId="0" applyAlignment="1" applyBorder="1" applyFont="1">
      <alignment vertical="center"/>
    </xf>
    <xf borderId="30" fillId="0" fontId="15" numFmtId="0" xfId="0" applyAlignment="1" applyBorder="1" applyFont="1">
      <alignment horizontal="left" shrinkToFit="0" vertical="center" wrapText="1"/>
    </xf>
    <xf borderId="30" fillId="0" fontId="15" numFmtId="169" xfId="0" applyAlignment="1" applyBorder="1" applyFont="1" applyNumberFormat="1">
      <alignment horizontal="center" shrinkToFit="0" vertical="center" wrapText="1"/>
    </xf>
    <xf borderId="22" fillId="0" fontId="19" numFmtId="169" xfId="0" applyAlignment="1" applyBorder="1" applyFont="1" applyNumberFormat="1">
      <alignment horizontal="center" vertical="center"/>
    </xf>
    <xf borderId="53" fillId="0" fontId="56" numFmtId="0" xfId="0" applyAlignment="1" applyBorder="1" applyFont="1">
      <alignment horizontal="center" shrinkToFit="0" vertical="center" wrapText="1"/>
    </xf>
    <xf borderId="30" fillId="0" fontId="56" numFmtId="0" xfId="0" applyAlignment="1" applyBorder="1" applyFont="1">
      <alignment horizontal="left" shrinkToFit="0" vertical="center" wrapText="1"/>
    </xf>
    <xf borderId="30" fillId="0" fontId="17" numFmtId="169" xfId="0" applyAlignment="1" applyBorder="1" applyFont="1" applyNumberFormat="1">
      <alignment shrinkToFit="0" vertical="center" wrapText="1"/>
    </xf>
    <xf borderId="30" fillId="0" fontId="17" numFmtId="169" xfId="0" applyAlignment="1" applyBorder="1" applyFont="1" applyNumberFormat="1">
      <alignment vertical="center"/>
    </xf>
    <xf borderId="22" fillId="0" fontId="15" numFmtId="169" xfId="0" applyAlignment="1" applyBorder="1" applyFont="1" applyNumberFormat="1">
      <alignment horizontal="center" vertical="center"/>
    </xf>
    <xf borderId="30" fillId="0" fontId="28" numFmtId="176" xfId="0" applyAlignment="1" applyBorder="1" applyFont="1" applyNumberFormat="1">
      <alignment horizontal="center" shrinkToFit="0" vertical="center" wrapText="1"/>
    </xf>
    <xf borderId="38" fillId="0" fontId="15" numFmtId="0" xfId="0" applyAlignment="1" applyBorder="1" applyFont="1">
      <alignment shrinkToFit="0" vertical="center" wrapText="1"/>
    </xf>
    <xf borderId="59" fillId="0" fontId="17" numFmtId="0" xfId="0" applyAlignment="1" applyBorder="1" applyFont="1">
      <alignment shrinkToFit="0" vertical="center" wrapText="1"/>
    </xf>
    <xf borderId="59" fillId="0" fontId="17" numFmtId="169" xfId="0" applyAlignment="1" applyBorder="1" applyFont="1" applyNumberFormat="1">
      <alignment shrinkToFit="0" vertical="center" wrapText="1"/>
    </xf>
    <xf borderId="59" fillId="0" fontId="17" numFmtId="169" xfId="0" applyAlignment="1" applyBorder="1" applyFont="1" applyNumberFormat="1">
      <alignment vertical="center"/>
    </xf>
    <xf borderId="0" fillId="0" fontId="15" numFmtId="0" xfId="0" applyAlignment="1" applyFont="1">
      <alignment horizontal="center" vertical="center"/>
    </xf>
    <xf borderId="22" fillId="0" fontId="25" numFmtId="169" xfId="0" applyAlignment="1" applyBorder="1" applyFont="1" applyNumberFormat="1">
      <alignment horizontal="center" vertical="center"/>
    </xf>
    <xf borderId="83" fillId="3" fontId="25" numFmtId="0" xfId="0" applyAlignment="1" applyBorder="1" applyFont="1">
      <alignment horizontal="center" shrinkToFit="0" vertical="center" wrapText="1"/>
    </xf>
    <xf borderId="25" fillId="0" fontId="25" numFmtId="2" xfId="0" applyAlignment="1" applyBorder="1" applyFont="1" applyNumberFormat="1">
      <alignment horizontal="center" vertical="center"/>
    </xf>
    <xf borderId="30" fillId="0" fontId="17" numFmtId="176" xfId="0" applyAlignment="1" applyBorder="1" applyFont="1" applyNumberFormat="1">
      <alignment horizontal="center" vertical="center"/>
    </xf>
    <xf borderId="22" fillId="0" fontId="17" numFmtId="169" xfId="0" applyAlignment="1" applyBorder="1" applyFont="1" applyNumberFormat="1">
      <alignment horizontal="center" vertical="center"/>
    </xf>
    <xf borderId="30" fillId="0" fontId="11" numFmtId="176" xfId="0" applyAlignment="1" applyBorder="1" applyFont="1" applyNumberFormat="1">
      <alignment horizontal="center" shrinkToFit="0" vertical="center" wrapText="1"/>
    </xf>
    <xf borderId="59" fillId="0" fontId="17" numFmtId="169" xfId="0" applyAlignment="1" applyBorder="1" applyFont="1" applyNumberFormat="1">
      <alignment horizontal="center" vertical="center"/>
    </xf>
    <xf borderId="22" fillId="0" fontId="26" numFmtId="0" xfId="0" applyAlignment="1" applyBorder="1" applyFont="1">
      <alignment horizontal="center" shrinkToFit="0" vertical="center" wrapText="1"/>
    </xf>
    <xf borderId="22" fillId="0" fontId="61" numFmtId="0" xfId="0" applyAlignment="1" applyBorder="1" applyFont="1">
      <alignment horizontal="center" shrinkToFit="0" vertical="center" wrapText="1"/>
    </xf>
    <xf borderId="0" fillId="0" fontId="46" numFmtId="0" xfId="0" applyAlignment="1" applyFont="1">
      <alignment vertical="center"/>
    </xf>
    <xf borderId="22" fillId="0" fontId="3" numFmtId="0" xfId="0" applyAlignment="1" applyBorder="1" applyFont="1">
      <alignment horizontal="center" shrinkToFit="0" vertical="center" wrapText="1"/>
    </xf>
    <xf borderId="82" fillId="0" fontId="17" numFmtId="0" xfId="0" applyAlignment="1" applyBorder="1" applyFont="1">
      <alignment horizontal="right" shrinkToFit="0" vertical="center" wrapText="1"/>
    </xf>
    <xf borderId="27" fillId="0" fontId="56" numFmtId="0" xfId="0" applyAlignment="1" applyBorder="1" applyFont="1">
      <alignment horizontal="center" shrinkToFit="0" vertical="center" wrapText="1"/>
    </xf>
    <xf borderId="28" fillId="0" fontId="56" numFmtId="0" xfId="0" applyAlignment="1" applyBorder="1" applyFont="1">
      <alignment horizontal="left" shrinkToFit="0" vertical="center" wrapText="1"/>
    </xf>
    <xf borderId="28" fillId="0" fontId="17" numFmtId="169" xfId="0" applyAlignment="1" applyBorder="1" applyFont="1" applyNumberFormat="1">
      <alignment shrinkToFit="0" vertical="center" wrapText="1"/>
    </xf>
    <xf borderId="28" fillId="0" fontId="17" numFmtId="169" xfId="0" applyAlignment="1" applyBorder="1" applyFont="1" applyNumberFormat="1">
      <alignment vertical="center"/>
    </xf>
    <xf borderId="65" fillId="0" fontId="15" numFmtId="4" xfId="0" applyAlignment="1" applyBorder="1" applyFont="1" applyNumberFormat="1">
      <alignment horizontal="right" vertical="center"/>
    </xf>
    <xf borderId="29" fillId="0" fontId="15" numFmtId="169" xfId="0" applyAlignment="1" applyBorder="1" applyFont="1" applyNumberFormat="1">
      <alignment horizontal="center" vertical="center"/>
    </xf>
    <xf borderId="22" fillId="0" fontId="62" numFmtId="0" xfId="0" applyAlignment="1" applyBorder="1" applyFont="1">
      <alignment horizontal="center" shrinkToFit="0" vertical="center" wrapText="1"/>
    </xf>
    <xf borderId="59" fillId="0" fontId="19" numFmtId="0" xfId="0" applyAlignment="1" applyBorder="1" applyFont="1">
      <alignment horizontal="left" shrinkToFit="0" vertical="center" wrapText="1"/>
    </xf>
    <xf borderId="59" fillId="0" fontId="28" numFmtId="176" xfId="0" applyAlignment="1" applyBorder="1" applyFont="1" applyNumberFormat="1">
      <alignment horizontal="center" shrinkToFit="0" vertical="center" wrapText="1"/>
    </xf>
    <xf borderId="22" fillId="0" fontId="18" numFmtId="0" xfId="0" applyAlignment="1" applyBorder="1" applyFont="1">
      <alignment horizontal="center" shrinkToFit="0" vertical="center" wrapText="1"/>
    </xf>
    <xf borderId="22" fillId="0" fontId="63" numFmtId="0" xfId="0" applyAlignment="1" applyBorder="1" applyFont="1">
      <alignment horizontal="center" shrinkToFit="0" vertical="center" wrapText="1"/>
    </xf>
    <xf borderId="60" fillId="0" fontId="64" numFmtId="0" xfId="0" applyAlignment="1" applyBorder="1" applyFont="1">
      <alignment horizontal="center" shrinkToFit="0" vertical="center" wrapText="1"/>
    </xf>
    <xf borderId="34" fillId="0" fontId="15" numFmtId="0" xfId="0" applyAlignment="1" applyBorder="1" applyFont="1">
      <alignment shrinkToFit="0" vertical="center" wrapText="1"/>
    </xf>
    <xf borderId="25" fillId="0" fontId="17" numFmtId="0" xfId="0" applyAlignment="1" applyBorder="1" applyFont="1">
      <alignment shrinkToFit="0" vertical="center" wrapText="1"/>
    </xf>
    <xf borderId="25" fillId="0" fontId="17" numFmtId="169" xfId="0" applyAlignment="1" applyBorder="1" applyFont="1" applyNumberFormat="1">
      <alignment shrinkToFit="0" vertical="center" wrapText="1"/>
    </xf>
    <xf borderId="25" fillId="0" fontId="17" numFmtId="169" xfId="0" applyAlignment="1" applyBorder="1" applyFont="1" applyNumberFormat="1">
      <alignment vertical="center"/>
    </xf>
    <xf borderId="91" fillId="6" fontId="25" numFmtId="0" xfId="0" applyAlignment="1" applyBorder="1" applyFont="1">
      <alignment horizontal="center" vertical="center"/>
    </xf>
    <xf borderId="106" fillId="6" fontId="15" numFmtId="169" xfId="0" applyAlignment="1" applyBorder="1" applyFont="1" applyNumberFormat="1">
      <alignment horizontal="center" vertical="center"/>
    </xf>
    <xf borderId="106" fillId="6" fontId="17" numFmtId="169" xfId="0" applyAlignment="1" applyBorder="1" applyFont="1" applyNumberFormat="1">
      <alignment vertical="center"/>
    </xf>
    <xf borderId="94" fillId="6" fontId="17" numFmtId="169" xfId="0" applyAlignment="1" applyBorder="1" applyFont="1" applyNumberFormat="1">
      <alignment horizontal="center" vertical="center"/>
    </xf>
    <xf borderId="53" fillId="0" fontId="15" numFmtId="0" xfId="0" applyAlignment="1" applyBorder="1" applyFont="1">
      <alignment vertical="center"/>
    </xf>
    <xf borderId="30" fillId="0" fontId="25" numFmtId="0" xfId="0" applyAlignment="1" applyBorder="1" applyFont="1">
      <alignment horizontal="left" shrinkToFit="0" vertical="center" wrapText="1"/>
    </xf>
    <xf borderId="30" fillId="0" fontId="25" numFmtId="0" xfId="0" applyAlignment="1" applyBorder="1" applyFont="1">
      <alignment horizontal="center" shrinkToFit="0" vertical="center" wrapText="1"/>
    </xf>
    <xf borderId="30" fillId="0" fontId="25" numFmtId="172" xfId="0" applyAlignment="1" applyBorder="1" applyFont="1" applyNumberFormat="1">
      <alignment horizontal="center" shrinkToFit="0" vertical="center" wrapText="1"/>
    </xf>
    <xf borderId="30" fillId="0" fontId="25" numFmtId="169" xfId="0" applyAlignment="1" applyBorder="1" applyFont="1" applyNumberFormat="1">
      <alignment horizontal="center" shrinkToFit="0" vertical="center" wrapText="1"/>
    </xf>
    <xf borderId="22" fillId="0" fontId="25" numFmtId="169" xfId="0" applyAlignment="1" applyBorder="1" applyFont="1" applyNumberFormat="1">
      <alignment horizontal="center" shrinkToFit="0" vertical="center" wrapText="1"/>
    </xf>
    <xf borderId="59" fillId="0" fontId="15" numFmtId="4" xfId="0" applyAlignment="1" applyBorder="1" applyFont="1" applyNumberFormat="1">
      <alignment horizontal="right" vertical="center"/>
    </xf>
    <xf borderId="30" fillId="0" fontId="47" numFmtId="0" xfId="0" applyAlignment="1" applyBorder="1" applyFont="1">
      <alignment horizontal="center" shrinkToFit="0" vertical="center" wrapText="1"/>
    </xf>
    <xf borderId="30" fillId="0" fontId="47" numFmtId="172" xfId="0" applyAlignment="1" applyBorder="1" applyFont="1" applyNumberFormat="1">
      <alignment horizontal="center" shrinkToFit="0" vertical="center" wrapText="1"/>
    </xf>
    <xf borderId="53" fillId="0" fontId="19" numFmtId="166" xfId="0" applyAlignment="1" applyBorder="1" applyFont="1" applyNumberFormat="1">
      <alignment horizontal="center" shrinkToFit="0" vertical="center" wrapText="1"/>
    </xf>
    <xf borderId="59" fillId="0" fontId="28" numFmtId="175" xfId="0" applyAlignment="1" applyBorder="1" applyFont="1" applyNumberFormat="1">
      <alignment horizontal="center" shrinkToFit="0" vertical="center" wrapText="1"/>
    </xf>
    <xf borderId="59" fillId="0" fontId="28" numFmtId="172" xfId="0" applyAlignment="1" applyBorder="1" applyFont="1" applyNumberFormat="1">
      <alignment horizontal="center" shrinkToFit="0" vertical="center" wrapText="1"/>
    </xf>
    <xf borderId="59" fillId="0" fontId="28" numFmtId="169" xfId="0" applyAlignment="1" applyBorder="1" applyFont="1" applyNumberFormat="1">
      <alignment horizontal="center" shrinkToFit="0" vertical="center" wrapText="1"/>
    </xf>
    <xf borderId="53" fillId="0" fontId="17" numFmtId="166" xfId="0" applyAlignment="1" applyBorder="1" applyFont="1" applyNumberFormat="1">
      <alignment horizontal="center" shrinkToFit="0" vertical="center" wrapText="1"/>
    </xf>
    <xf borderId="91" fillId="6" fontId="17" numFmtId="0" xfId="0" applyAlignment="1" applyBorder="1" applyFont="1">
      <alignment horizontal="center" vertical="center"/>
    </xf>
    <xf borderId="92" fillId="6" fontId="25" numFmtId="0" xfId="0" applyAlignment="1" applyBorder="1" applyFont="1">
      <alignment horizontal="right" shrinkToFit="0" vertical="center" wrapText="1"/>
    </xf>
    <xf borderId="94" fillId="6" fontId="25" numFmtId="169" xfId="0" applyAlignment="1" applyBorder="1" applyFont="1" applyNumberFormat="1">
      <alignment horizontal="center" shrinkToFit="0" vertical="center" wrapText="1"/>
    </xf>
    <xf borderId="0" fillId="0" fontId="5" numFmtId="0" xfId="0" applyAlignment="1" applyFont="1">
      <alignment horizontal="left" vertical="center"/>
    </xf>
    <xf borderId="53" fillId="0" fontId="17" numFmtId="0" xfId="0" applyAlignment="1" applyBorder="1" applyFont="1">
      <alignment horizontal="center" shrinkToFit="0" vertical="center" wrapText="1"/>
    </xf>
    <xf quotePrefix="1" borderId="30" fillId="0" fontId="19" numFmtId="0" xfId="0" applyAlignment="1" applyBorder="1" applyFont="1">
      <alignment horizontal="left" shrinkToFit="0" vertical="center" wrapText="1"/>
    </xf>
    <xf borderId="98" fillId="6" fontId="25" numFmtId="0" xfId="0" applyAlignment="1" applyBorder="1" applyFont="1">
      <alignment horizontal="left" shrinkToFit="0" vertical="center" wrapText="1"/>
    </xf>
    <xf borderId="44" fillId="0" fontId="19" numFmtId="0" xfId="0" applyAlignment="1" applyBorder="1" applyFont="1">
      <alignment horizontal="center" shrinkToFit="0" vertical="center" wrapText="1"/>
    </xf>
    <xf borderId="21" fillId="0" fontId="11" numFmtId="0" xfId="0" applyAlignment="1" applyBorder="1" applyFont="1">
      <alignment horizontal="center" shrinkToFit="0" vertical="center" wrapText="1"/>
    </xf>
    <xf borderId="0" fillId="0" fontId="30" numFmtId="2" xfId="0" applyFont="1" applyNumberFormat="1"/>
    <xf borderId="51" fillId="6" fontId="25" numFmtId="0" xfId="0" applyAlignment="1" applyBorder="1" applyFont="1">
      <alignment shrinkToFit="0" vertical="center" wrapText="1"/>
    </xf>
    <xf borderId="51" fillId="3" fontId="17" numFmtId="169" xfId="0" applyAlignment="1" applyBorder="1" applyFont="1" applyNumberFormat="1">
      <alignment vertical="center"/>
    </xf>
    <xf borderId="52" fillId="3" fontId="17" numFmtId="169" xfId="0" applyAlignment="1" applyBorder="1" applyFont="1" applyNumberFormat="1">
      <alignment horizontal="center" vertical="center"/>
    </xf>
    <xf borderId="46" fillId="0" fontId="17" numFmtId="0" xfId="0" applyAlignment="1" applyBorder="1" applyFont="1">
      <alignment horizontal="right" shrinkToFit="0" vertical="center" wrapText="1"/>
    </xf>
    <xf borderId="31" fillId="2" fontId="15" numFmtId="0" xfId="0" applyAlignment="1" applyBorder="1" applyFont="1">
      <alignment vertical="center"/>
    </xf>
    <xf borderId="32" fillId="0" fontId="15" numFmtId="0" xfId="0" applyAlignment="1" applyBorder="1" applyFont="1">
      <alignment horizontal="left" shrinkToFit="0" vertical="center" wrapText="1"/>
    </xf>
    <xf borderId="32" fillId="0" fontId="15" numFmtId="0" xfId="0" applyAlignment="1" applyBorder="1" applyFont="1">
      <alignment horizontal="center" shrinkToFit="0" vertical="center" wrapText="1"/>
    </xf>
    <xf borderId="32" fillId="0" fontId="15" numFmtId="172" xfId="0" applyAlignment="1" applyBorder="1" applyFont="1" applyNumberFormat="1">
      <alignment horizontal="center" shrinkToFit="0" vertical="center" wrapText="1"/>
    </xf>
    <xf borderId="32" fillId="0" fontId="15" numFmtId="169" xfId="0" applyAlignment="1" applyBorder="1" applyFont="1" applyNumberFormat="1">
      <alignment horizontal="center" shrinkToFit="0" vertical="center" wrapText="1"/>
    </xf>
    <xf borderId="33" fillId="0" fontId="15" numFmtId="169" xfId="0" applyAlignment="1" applyBorder="1" applyFont="1" applyNumberFormat="1">
      <alignment horizontal="center" shrinkToFit="0" vertical="center" wrapText="1"/>
    </xf>
    <xf borderId="53" fillId="0" fontId="15" numFmtId="0" xfId="0" applyAlignment="1" applyBorder="1" applyFont="1">
      <alignment shrinkToFit="0" vertical="center" wrapText="1"/>
    </xf>
    <xf borderId="0" fillId="0" fontId="25" numFmtId="0" xfId="0" applyAlignment="1" applyFont="1">
      <alignment horizontal="center" vertical="center"/>
    </xf>
    <xf borderId="44" fillId="0" fontId="17" numFmtId="0" xfId="0" applyAlignment="1" applyBorder="1" applyFont="1">
      <alignment horizontal="right" shrinkToFit="0" vertical="center" wrapText="1"/>
    </xf>
    <xf borderId="26" fillId="0" fontId="26" numFmtId="0" xfId="0" applyAlignment="1" applyBorder="1" applyFont="1">
      <alignment horizontal="center" shrinkToFit="0" vertical="center" wrapText="1"/>
    </xf>
    <xf borderId="33" fillId="0" fontId="26" numFmtId="0" xfId="0" applyAlignment="1" applyBorder="1" applyFont="1">
      <alignment horizontal="center" shrinkToFit="0" vertical="center" wrapText="1"/>
    </xf>
    <xf borderId="0" fillId="0" fontId="17" numFmtId="169" xfId="0" applyAlignment="1" applyFont="1" applyNumberFormat="1">
      <alignment shrinkToFit="0" vertical="center" wrapText="1"/>
    </xf>
    <xf borderId="0" fillId="0" fontId="17" numFmtId="169" xfId="0" applyAlignment="1" applyFont="1" applyNumberFormat="1">
      <alignment vertical="center"/>
    </xf>
    <xf borderId="113" fillId="0" fontId="15" numFmtId="4" xfId="0" applyAlignment="1" applyBorder="1" applyFont="1" applyNumberFormat="1">
      <alignment horizontal="right" vertical="center"/>
    </xf>
    <xf borderId="34" fillId="0" fontId="11" numFmtId="0" xfId="0" applyAlignment="1" applyBorder="1" applyFont="1">
      <alignment horizontal="center" vertical="center"/>
    </xf>
    <xf borderId="25" fillId="0" fontId="13" numFmtId="0" xfId="0" applyAlignment="1" applyBorder="1" applyFont="1">
      <alignment horizontal="left" shrinkToFit="0" vertical="center" wrapText="1"/>
    </xf>
    <xf borderId="25" fillId="0" fontId="13" numFmtId="0" xfId="0" applyAlignment="1" applyBorder="1" applyFont="1">
      <alignment horizontal="center" shrinkToFit="0" vertical="center" wrapText="1"/>
    </xf>
    <xf borderId="25" fillId="0" fontId="13" numFmtId="172" xfId="0" applyAlignment="1" applyBorder="1" applyFont="1" applyNumberFormat="1">
      <alignment horizontal="center" shrinkToFit="0" vertical="center" wrapText="1"/>
    </xf>
    <xf borderId="25" fillId="0" fontId="15" numFmtId="0" xfId="0" applyAlignment="1" applyBorder="1" applyFont="1">
      <alignment horizontal="center" shrinkToFit="0" vertical="center" wrapText="1"/>
    </xf>
    <xf borderId="26" fillId="0" fontId="13" numFmtId="169" xfId="0" applyAlignment="1" applyBorder="1" applyFont="1" applyNumberFormat="1">
      <alignment horizontal="center" shrinkToFit="0" vertical="center" wrapText="1"/>
    </xf>
    <xf borderId="32" fillId="0" fontId="28" numFmtId="176" xfId="0" applyAlignment="1" applyBorder="1" applyFont="1" applyNumberFormat="1">
      <alignment horizontal="center" shrinkToFit="0" vertical="center" wrapText="1"/>
    </xf>
    <xf borderId="13" fillId="0" fontId="19" numFmtId="169" xfId="0" applyAlignment="1" applyBorder="1" applyFont="1" applyNumberFormat="1">
      <alignment horizontal="center" vertical="center"/>
    </xf>
    <xf borderId="33" fillId="0" fontId="19" numFmtId="169" xfId="0" applyAlignment="1" applyBorder="1" applyFont="1" applyNumberFormat="1">
      <alignment horizontal="center" vertical="center"/>
    </xf>
    <xf borderId="22" fillId="0" fontId="65" numFmtId="0" xfId="0" applyAlignment="1" applyBorder="1" applyFont="1">
      <alignment horizontal="center" shrinkToFit="0" vertical="center" wrapText="1"/>
    </xf>
    <xf borderId="25" fillId="0" fontId="28" numFmtId="176" xfId="0" applyAlignment="1" applyBorder="1" applyFont="1" applyNumberFormat="1">
      <alignment horizontal="center" shrinkToFit="0" vertical="center" wrapText="1"/>
    </xf>
    <xf borderId="26" fillId="0" fontId="19" numFmtId="169" xfId="0" applyAlignment="1" applyBorder="1" applyFont="1" applyNumberFormat="1">
      <alignment horizontal="center" vertical="center"/>
    </xf>
    <xf borderId="31" fillId="0" fontId="15" numFmtId="0" xfId="0" applyAlignment="1" applyBorder="1" applyFont="1">
      <alignment shrinkToFit="0" vertical="center" wrapText="1"/>
    </xf>
    <xf borderId="32" fillId="0" fontId="17" numFmtId="0" xfId="0" applyAlignment="1" applyBorder="1" applyFont="1">
      <alignment shrinkToFit="0" vertical="center" wrapText="1"/>
    </xf>
    <xf borderId="32" fillId="0" fontId="17" numFmtId="169" xfId="0" applyAlignment="1" applyBorder="1" applyFont="1" applyNumberFormat="1">
      <alignment shrinkToFit="0" vertical="center" wrapText="1"/>
    </xf>
    <xf borderId="32" fillId="0" fontId="17" numFmtId="169" xfId="0" applyAlignment="1" applyBorder="1" applyFont="1" applyNumberFormat="1">
      <alignment vertical="center"/>
    </xf>
    <xf borderId="32" fillId="0" fontId="15" numFmtId="4" xfId="0" applyAlignment="1" applyBorder="1" applyFont="1" applyNumberFormat="1">
      <alignment horizontal="right" vertical="center"/>
    </xf>
    <xf borderId="33" fillId="0" fontId="47" numFmtId="169" xfId="0" applyAlignment="1" applyBorder="1" applyFont="1" applyNumberFormat="1">
      <alignment horizontal="center" shrinkToFit="0" vertical="center" wrapText="1"/>
    </xf>
    <xf borderId="58" fillId="0" fontId="15" numFmtId="4" xfId="0" applyAlignment="1" applyBorder="1" applyFont="1" applyNumberFormat="1">
      <alignment horizontal="right" vertical="center"/>
    </xf>
    <xf borderId="30" fillId="0" fontId="66" numFmtId="0" xfId="0" applyAlignment="1" applyBorder="1" applyFont="1">
      <alignment horizontal="left" vertical="center"/>
    </xf>
    <xf borderId="1" fillId="0" fontId="5" numFmtId="0" xfId="0" applyAlignment="1" applyBorder="1" applyFont="1">
      <alignment horizontal="center" vertical="center"/>
    </xf>
    <xf borderId="50" fillId="6" fontId="67" numFmtId="0" xfId="0" applyAlignment="1" applyBorder="1" applyFont="1">
      <alignment horizontal="center" vertical="center"/>
    </xf>
    <xf borderId="51" fillId="6" fontId="15" numFmtId="169" xfId="0" applyAlignment="1" applyBorder="1" applyFont="1" applyNumberFormat="1">
      <alignment horizontal="center" vertical="center"/>
    </xf>
    <xf borderId="83" fillId="6" fontId="15" numFmtId="0" xfId="0" applyAlignment="1" applyBorder="1" applyFont="1">
      <alignment horizontal="center" vertical="center"/>
    </xf>
    <xf borderId="53" fillId="2" fontId="56" numFmtId="0" xfId="0" applyAlignment="1" applyBorder="1" applyFont="1">
      <alignment horizontal="center" shrinkToFit="0" vertical="center" wrapText="1"/>
    </xf>
    <xf borderId="30" fillId="0" fontId="15" numFmtId="4" xfId="0" applyAlignment="1" applyBorder="1" applyFont="1" applyNumberFormat="1">
      <alignment horizontal="right" vertical="center"/>
    </xf>
    <xf borderId="68" fillId="0" fontId="15" numFmtId="0" xfId="0" applyAlignment="1" applyBorder="1" applyFont="1">
      <alignment horizontal="right" shrinkToFit="0" vertical="center" wrapText="1"/>
    </xf>
    <xf borderId="35" fillId="0" fontId="15" numFmtId="169" xfId="0" applyAlignment="1" applyBorder="1" applyFont="1" applyNumberFormat="1">
      <alignment horizontal="center" shrinkToFit="0" vertical="center" wrapText="1"/>
    </xf>
    <xf borderId="4" fillId="0" fontId="17" numFmtId="0" xfId="0" applyAlignment="1" applyBorder="1" applyFont="1">
      <alignment horizontal="center" vertical="center"/>
    </xf>
    <xf borderId="0" fillId="0" fontId="25" numFmtId="0" xfId="0" applyAlignment="1" applyFont="1">
      <alignment horizontal="center" shrinkToFit="0" vertical="center" wrapText="1"/>
    </xf>
    <xf borderId="5" fillId="0" fontId="15" numFmtId="169" xfId="0" applyAlignment="1" applyBorder="1" applyFont="1" applyNumberFormat="1">
      <alignment horizontal="center" shrinkToFit="0" vertical="center" wrapText="1"/>
    </xf>
    <xf borderId="30" fillId="0" fontId="45" numFmtId="0" xfId="0" applyBorder="1" applyFont="1"/>
    <xf borderId="0" fillId="0" fontId="66" numFmtId="0" xfId="0" applyFont="1"/>
    <xf borderId="30" fillId="0" fontId="66" numFmtId="0" xfId="0" applyBorder="1" applyFont="1"/>
    <xf borderId="30" fillId="0" fontId="19" numFmtId="0" xfId="0" applyBorder="1" applyFont="1"/>
    <xf borderId="30" fillId="0" fontId="13" numFmtId="0" xfId="0" applyAlignment="1" applyBorder="1" applyFont="1">
      <alignment horizontal="left" vertical="center"/>
    </xf>
    <xf borderId="30" fillId="0" fontId="66" numFmtId="0" xfId="0" applyAlignment="1" applyBorder="1" applyFont="1">
      <alignment horizontal="left" shrinkToFit="0" vertical="center" wrapText="1"/>
    </xf>
    <xf borderId="22" fillId="0" fontId="28" numFmtId="176" xfId="0" applyAlignment="1" applyBorder="1" applyFont="1" applyNumberFormat="1">
      <alignment horizontal="center" shrinkToFit="0" vertical="center" wrapText="1"/>
    </xf>
    <xf borderId="0" fillId="0" fontId="45" numFmtId="0" xfId="0" applyFont="1"/>
    <xf borderId="22" fillId="0" fontId="28" numFmtId="172" xfId="0" applyAlignment="1" applyBorder="1" applyFont="1" applyNumberFormat="1">
      <alignment horizontal="center" shrinkToFit="0" vertical="center" wrapText="1"/>
    </xf>
    <xf borderId="22" fillId="0" fontId="28" numFmtId="177" xfId="0" applyAlignment="1" applyBorder="1" applyFont="1" applyNumberFormat="1">
      <alignment horizontal="center" shrinkToFit="0" vertical="center" wrapText="1"/>
    </xf>
    <xf borderId="22" fillId="0" fontId="47" numFmtId="175" xfId="0" applyAlignment="1" applyBorder="1" applyFont="1" applyNumberFormat="1">
      <alignment horizontal="center" shrinkToFit="0" vertical="center" wrapText="1"/>
    </xf>
    <xf borderId="35" fillId="0" fontId="25" numFmtId="169" xfId="0" applyAlignment="1" applyBorder="1" applyFont="1" applyNumberFormat="1">
      <alignment horizontal="center" shrinkToFit="0" vertical="center" wrapText="1"/>
    </xf>
    <xf borderId="4" fillId="0" fontId="5" numFmtId="0" xfId="0" applyAlignment="1" applyBorder="1" applyFont="1">
      <alignment horizontal="center" vertical="center"/>
    </xf>
    <xf borderId="5" fillId="0" fontId="5" numFmtId="0" xfId="0" applyAlignment="1" applyBorder="1" applyFont="1">
      <alignment horizontal="center" vertical="center"/>
    </xf>
    <xf borderId="50" fillId="3" fontId="67" numFmtId="0" xfId="0" applyAlignment="1" applyBorder="1" applyFont="1">
      <alignment horizontal="center" vertical="center"/>
    </xf>
    <xf borderId="28" fillId="0" fontId="19" numFmtId="169" xfId="0" applyAlignment="1" applyBorder="1" applyFont="1" applyNumberFormat="1">
      <alignment horizontal="center" vertical="center"/>
    </xf>
    <xf borderId="9" fillId="0" fontId="17" numFmtId="0" xfId="0" applyAlignment="1" applyBorder="1" applyFont="1">
      <alignment horizontal="left" shrinkToFit="0" vertical="center" wrapText="1"/>
    </xf>
    <xf borderId="51" fillId="3" fontId="25" numFmtId="0" xfId="0" applyAlignment="1" applyBorder="1" applyFont="1">
      <alignment horizontal="left" shrinkToFit="0" vertical="center" wrapText="1"/>
    </xf>
    <xf borderId="32" fillId="6" fontId="67" numFmtId="0" xfId="0" applyAlignment="1" applyBorder="1" applyFont="1">
      <alignment horizontal="center" vertical="center"/>
    </xf>
    <xf borderId="112" fillId="3" fontId="18" numFmtId="169" xfId="0" applyAlignment="1" applyBorder="1" applyFont="1" applyNumberFormat="1">
      <alignment vertical="center"/>
    </xf>
    <xf borderId="51" fillId="3" fontId="18" numFmtId="169" xfId="0" applyAlignment="1" applyBorder="1" applyFont="1" applyNumberFormat="1">
      <alignment vertical="center"/>
    </xf>
    <xf borderId="52" fillId="3" fontId="18" numFmtId="169" xfId="0" applyAlignment="1" applyBorder="1" applyFont="1" applyNumberFormat="1">
      <alignment horizontal="center" vertical="center"/>
    </xf>
    <xf borderId="44" fillId="0" fontId="19" numFmtId="0" xfId="0" applyAlignment="1" applyBorder="1" applyFont="1">
      <alignment horizontal="right" shrinkToFit="0" vertical="center" wrapText="1"/>
    </xf>
    <xf borderId="79" fillId="2" fontId="67" numFmtId="0" xfId="0" applyAlignment="1" applyBorder="1" applyFont="1">
      <alignment vertical="center"/>
    </xf>
    <xf borderId="0" fillId="0" fontId="67" numFmtId="0" xfId="0" applyAlignment="1" applyFont="1">
      <alignment horizontal="left" shrinkToFit="0" vertical="center" wrapText="1"/>
    </xf>
    <xf borderId="28" fillId="0" fontId="67" numFmtId="0" xfId="0" applyAlignment="1" applyBorder="1" applyFont="1">
      <alignment horizontal="center" shrinkToFit="0" vertical="center" wrapText="1"/>
    </xf>
    <xf borderId="28" fillId="0" fontId="67" numFmtId="172" xfId="0" applyAlignment="1" applyBorder="1" applyFont="1" applyNumberFormat="1">
      <alignment horizontal="center" shrinkToFit="0" vertical="center" wrapText="1"/>
    </xf>
    <xf borderId="28" fillId="0" fontId="67" numFmtId="169" xfId="0" applyAlignment="1" applyBorder="1" applyFont="1" applyNumberFormat="1">
      <alignment horizontal="center" shrinkToFit="0" vertical="center" wrapText="1"/>
    </xf>
    <xf borderId="29" fillId="0" fontId="67" numFmtId="169" xfId="0" applyAlignment="1" applyBorder="1" applyFont="1" applyNumberFormat="1">
      <alignment horizontal="center" shrinkToFit="0" vertical="center" wrapText="1"/>
    </xf>
    <xf borderId="30" fillId="0" fontId="19" numFmtId="168" xfId="0" applyAlignment="1" applyBorder="1" applyFont="1" applyNumberFormat="1">
      <alignment horizontal="center" shrinkToFit="0" vertical="center" wrapText="1"/>
    </xf>
    <xf borderId="30" fillId="0" fontId="25" numFmtId="0" xfId="0" applyAlignment="1" applyBorder="1" applyFont="1">
      <alignment horizontal="right" shrinkToFit="0" vertical="center" wrapText="1"/>
    </xf>
    <xf borderId="30" fillId="0" fontId="19" numFmtId="169" xfId="0" applyAlignment="1" applyBorder="1" applyFont="1" applyNumberFormat="1">
      <alignment vertical="center"/>
    </xf>
    <xf quotePrefix="1" borderId="79" fillId="2" fontId="25" numFmtId="0" xfId="0" applyAlignment="1" applyBorder="1" applyFont="1">
      <alignment vertical="center"/>
    </xf>
    <xf borderId="28" fillId="0" fontId="25" numFmtId="0" xfId="0" applyAlignment="1" applyBorder="1" applyFont="1">
      <alignment horizontal="center" shrinkToFit="0" vertical="center" wrapText="1"/>
    </xf>
    <xf borderId="28" fillId="0" fontId="25" numFmtId="172" xfId="0" applyAlignment="1" applyBorder="1" applyFont="1" applyNumberFormat="1">
      <alignment horizontal="center" shrinkToFit="0" vertical="center" wrapText="1"/>
    </xf>
    <xf borderId="28" fillId="0" fontId="25" numFmtId="169" xfId="0" applyAlignment="1" applyBorder="1" applyFont="1" applyNumberFormat="1">
      <alignment horizontal="center" shrinkToFit="0" vertical="center" wrapText="1"/>
    </xf>
    <xf borderId="29" fillId="0" fontId="25" numFmtId="169" xfId="0" applyAlignment="1" applyBorder="1" applyFont="1" applyNumberFormat="1">
      <alignment horizontal="center" shrinkToFit="0" vertical="center" wrapText="1"/>
    </xf>
    <xf borderId="34" fillId="3" fontId="19" numFmtId="0" xfId="0" applyAlignment="1" applyBorder="1" applyFont="1">
      <alignment horizontal="center" vertical="center"/>
    </xf>
    <xf borderId="26" fillId="3" fontId="25" numFmtId="169" xfId="0" applyAlignment="1" applyBorder="1" applyFont="1" applyNumberFormat="1">
      <alignment horizontal="center" shrinkToFit="0" vertical="center" wrapText="1"/>
    </xf>
    <xf borderId="4" fillId="0" fontId="36" numFmtId="0" xfId="0" applyAlignment="1" applyBorder="1" applyFont="1">
      <alignment horizontal="center"/>
    </xf>
    <xf borderId="0" fillId="0" fontId="36" numFmtId="0" xfId="0" applyAlignment="1" applyFont="1">
      <alignment horizontal="center"/>
    </xf>
    <xf borderId="5" fillId="0" fontId="36" numFmtId="0" xfId="0" applyAlignment="1" applyBorder="1" applyFont="1">
      <alignment horizontal="center"/>
    </xf>
    <xf borderId="32" fillId="6" fontId="25" numFmtId="0" xfId="0" applyAlignment="1" applyBorder="1" applyFont="1">
      <alignment horizontal="center" vertical="center"/>
    </xf>
    <xf borderId="112" fillId="3" fontId="19" numFmtId="169" xfId="0" applyAlignment="1" applyBorder="1" applyFont="1" applyNumberFormat="1">
      <alignment vertical="center"/>
    </xf>
    <xf borderId="51" fillId="3" fontId="19" numFmtId="169" xfId="0" applyAlignment="1" applyBorder="1" applyFont="1" applyNumberFormat="1">
      <alignment vertical="center"/>
    </xf>
    <xf borderId="52" fillId="3" fontId="19" numFmtId="169" xfId="0" applyAlignment="1" applyBorder="1" applyFont="1" applyNumberFormat="1">
      <alignment horizontal="center" vertical="center"/>
    </xf>
    <xf borderId="79" fillId="2" fontId="25" numFmtId="0" xfId="0" applyAlignment="1" applyBorder="1" applyFont="1">
      <alignment vertical="center"/>
    </xf>
    <xf borderId="53" fillId="0" fontId="19" numFmtId="0" xfId="0" applyAlignment="1" applyBorder="1" applyFont="1">
      <alignment horizontal="center" shrinkToFit="0" vertical="center" wrapText="1"/>
    </xf>
    <xf borderId="30" fillId="0" fontId="19" numFmtId="178" xfId="0" applyAlignment="1" applyBorder="1" applyFont="1" applyNumberFormat="1">
      <alignment horizontal="center" shrinkToFit="0" vertical="center" wrapText="1"/>
    </xf>
    <xf borderId="30" fillId="0" fontId="19" numFmtId="4" xfId="0" applyAlignment="1" applyBorder="1" applyFont="1" applyNumberFormat="1">
      <alignment horizontal="center" shrinkToFit="0" vertical="center" wrapText="1"/>
    </xf>
    <xf borderId="30" fillId="0" fontId="19" numFmtId="169" xfId="0" applyAlignment="1" applyBorder="1" applyFont="1" applyNumberFormat="1">
      <alignment horizontal="right" shrinkToFit="0" vertical="center" wrapText="1"/>
    </xf>
    <xf borderId="64" fillId="3" fontId="19" numFmtId="0" xfId="0" applyAlignment="1" applyBorder="1" applyFont="1">
      <alignment horizontal="center" vertical="center"/>
    </xf>
    <xf borderId="66" fillId="3" fontId="25" numFmtId="169" xfId="0" applyAlignment="1" applyBorder="1" applyFont="1" applyNumberFormat="1">
      <alignment horizontal="center" shrinkToFit="0" vertical="center" wrapText="1"/>
    </xf>
    <xf borderId="31" fillId="0" fontId="25" numFmtId="0" xfId="0" applyAlignment="1" applyBorder="1" applyFont="1">
      <alignment horizontal="center" vertical="center"/>
    </xf>
    <xf borderId="32" fillId="0" fontId="25" numFmtId="0" xfId="0" applyAlignment="1" applyBorder="1" applyFont="1">
      <alignment horizontal="left" shrinkToFit="0" vertical="center" wrapText="1"/>
    </xf>
    <xf borderId="32" fillId="0" fontId="25" numFmtId="169" xfId="0" applyAlignment="1" applyBorder="1" applyFont="1" applyNumberFormat="1">
      <alignment horizontal="center" vertical="center"/>
    </xf>
    <xf borderId="83" fillId="0" fontId="25" numFmtId="169" xfId="0" applyAlignment="1" applyBorder="1" applyFont="1" applyNumberFormat="1">
      <alignment horizontal="center" vertical="center"/>
    </xf>
    <xf borderId="33" fillId="0" fontId="25" numFmtId="169" xfId="0" applyAlignment="1" applyBorder="1" applyFont="1" applyNumberFormat="1">
      <alignment horizontal="center" shrinkToFit="0" vertical="center" wrapText="1"/>
    </xf>
    <xf borderId="30" fillId="0" fontId="19" numFmtId="0" xfId="0" applyAlignment="1" applyBorder="1" applyFont="1">
      <alignment shrinkToFit="0" vertical="center" wrapText="1"/>
    </xf>
    <xf borderId="20" fillId="0" fontId="19" numFmtId="169" xfId="0" applyAlignment="1" applyBorder="1" applyFont="1" applyNumberFormat="1">
      <alignment horizontal="center" vertical="center"/>
    </xf>
    <xf borderId="22" fillId="0" fontId="19" numFmtId="169" xfId="0" applyAlignment="1" applyBorder="1" applyFont="1" applyNumberFormat="1">
      <alignment horizontal="center" shrinkToFit="0" vertical="center" wrapText="1"/>
    </xf>
    <xf borderId="20" fillId="0" fontId="18" numFmtId="169" xfId="0" applyAlignment="1" applyBorder="1" applyFont="1" applyNumberFormat="1">
      <alignment horizontal="left" shrinkToFit="0" vertical="center" wrapText="1"/>
    </xf>
    <xf borderId="34" fillId="0" fontId="19" numFmtId="0" xfId="0" applyAlignment="1" applyBorder="1" applyFont="1">
      <alignment vertical="center"/>
    </xf>
    <xf borderId="25" fillId="0" fontId="25" numFmtId="0" xfId="0" applyAlignment="1" applyBorder="1" applyFont="1">
      <alignment horizontal="right" vertical="center"/>
    </xf>
    <xf borderId="25" fillId="0" fontId="25" numFmtId="169" xfId="0" applyAlignment="1" applyBorder="1" applyFont="1" applyNumberFormat="1">
      <alignment vertical="center"/>
    </xf>
    <xf borderId="55" fillId="0" fontId="19" numFmtId="169" xfId="0" applyAlignment="1" applyBorder="1" applyFont="1" applyNumberFormat="1">
      <alignment horizontal="center" vertical="center"/>
    </xf>
    <xf borderId="26" fillId="0" fontId="19" numFmtId="169" xfId="0" applyAlignment="1" applyBorder="1" applyFont="1" applyNumberFormat="1">
      <alignment vertical="center"/>
    </xf>
    <xf borderId="9" fillId="0" fontId="19" numFmtId="173" xfId="0" applyAlignment="1" applyBorder="1" applyFont="1" applyNumberFormat="1">
      <alignment horizontal="left" shrinkToFit="0" vertical="center" wrapText="1"/>
    </xf>
    <xf borderId="0" fillId="0" fontId="31" numFmtId="0" xfId="0" applyAlignment="1" applyFont="1">
      <alignment horizontal="center" vertical="center"/>
    </xf>
    <xf quotePrefix="1" borderId="78" fillId="6" fontId="25" numFmtId="0" xfId="0" applyAlignment="1" applyBorder="1" applyFont="1">
      <alignment horizontal="left" shrinkToFit="0" vertical="center" wrapText="1"/>
    </xf>
    <xf borderId="51" fillId="3" fontId="25" numFmtId="169" xfId="0" applyAlignment="1" applyBorder="1" applyFont="1" applyNumberFormat="1">
      <alignment horizontal="center" vertical="center"/>
    </xf>
    <xf borderId="0" fillId="0" fontId="47" numFmtId="0" xfId="0" applyAlignment="1" applyFont="1">
      <alignment horizontal="left" shrinkToFit="0" vertical="center" wrapText="1"/>
    </xf>
    <xf borderId="28" fillId="0" fontId="47" numFmtId="0" xfId="0" applyAlignment="1" applyBorder="1" applyFont="1">
      <alignment horizontal="center" shrinkToFit="0" vertical="center" wrapText="1"/>
    </xf>
    <xf borderId="28" fillId="0" fontId="47" numFmtId="172" xfId="0" applyAlignment="1" applyBorder="1" applyFont="1" applyNumberFormat="1">
      <alignment horizontal="center" shrinkToFit="0" vertical="center" wrapText="1"/>
    </xf>
    <xf borderId="58" fillId="0" fontId="25" numFmtId="0" xfId="0" applyAlignment="1" applyBorder="1" applyFont="1">
      <alignment horizontal="center" shrinkToFit="0" vertical="center" wrapText="1"/>
    </xf>
    <xf borderId="5" fillId="0" fontId="47" numFmtId="169" xfId="0" applyAlignment="1" applyBorder="1" applyFont="1" applyNumberFormat="1">
      <alignment horizontal="center" shrinkToFit="0" vertical="center" wrapText="1"/>
    </xf>
    <xf borderId="30" fillId="2" fontId="56" numFmtId="0" xfId="0" applyAlignment="1" applyBorder="1" applyFont="1">
      <alignment horizontal="center" shrinkToFit="0" vertical="center" wrapText="1"/>
    </xf>
    <xf borderId="30" fillId="2" fontId="56" numFmtId="0" xfId="0" applyAlignment="1" applyBorder="1" applyFont="1">
      <alignment horizontal="left" shrinkToFit="0" vertical="center" wrapText="1"/>
    </xf>
    <xf borderId="30" fillId="0" fontId="19" numFmtId="0" xfId="0" applyAlignment="1" applyBorder="1" applyFont="1">
      <alignment horizontal="center" shrinkToFit="0" vertical="center" wrapText="1"/>
    </xf>
    <xf borderId="30" fillId="0" fontId="28" numFmtId="179" xfId="0" applyAlignment="1" applyBorder="1" applyFont="1" applyNumberFormat="1">
      <alignment horizontal="center" vertical="center"/>
    </xf>
    <xf borderId="30" fillId="0" fontId="19" numFmtId="172" xfId="0" applyAlignment="1" applyBorder="1" applyFont="1" applyNumberFormat="1">
      <alignment horizontal="center" shrinkToFit="0" vertical="center" wrapText="1"/>
    </xf>
    <xf borderId="96" fillId="0" fontId="25" numFmtId="169" xfId="0" applyAlignment="1" applyBorder="1" applyFont="1" applyNumberFormat="1">
      <alignment horizontal="center" shrinkToFit="0" vertical="center" wrapText="1"/>
    </xf>
    <xf borderId="97" fillId="0" fontId="25" numFmtId="0" xfId="0" applyAlignment="1" applyBorder="1" applyFont="1">
      <alignment horizontal="left" shrinkToFit="0" vertical="center" wrapText="1"/>
    </xf>
    <xf borderId="30" fillId="0" fontId="25" numFmtId="0" xfId="0" applyAlignment="1" applyBorder="1" applyFont="1">
      <alignment horizontal="center" shrinkToFit="0" vertical="center" wrapText="1"/>
    </xf>
    <xf borderId="30" fillId="0" fontId="28" numFmtId="170" xfId="0" applyAlignment="1" applyBorder="1" applyFont="1" applyNumberFormat="1">
      <alignment horizontal="center" vertical="center"/>
    </xf>
    <xf borderId="47" fillId="0" fontId="19" numFmtId="0" xfId="0" applyAlignment="1" applyBorder="1" applyFont="1">
      <alignment shrinkToFit="0" wrapText="1"/>
    </xf>
    <xf borderId="47" fillId="0" fontId="19" numFmtId="2" xfId="0" applyAlignment="1" applyBorder="1" applyFont="1" applyNumberFormat="1">
      <alignment horizontal="center" vertical="center"/>
    </xf>
    <xf borderId="108" fillId="0" fontId="25" numFmtId="4" xfId="0" applyAlignment="1" applyBorder="1" applyFont="1" applyNumberFormat="1">
      <alignment horizontal="right" vertical="center"/>
    </xf>
    <xf borderId="26" fillId="0" fontId="25" numFmtId="169" xfId="0" applyAlignment="1" applyBorder="1" applyFont="1" applyNumberFormat="1">
      <alignment horizontal="center" shrinkToFit="0" vertical="center" wrapText="1"/>
    </xf>
    <xf borderId="0" fillId="0" fontId="56" numFmtId="0" xfId="0" applyAlignment="1" applyFont="1">
      <alignment horizontal="center" shrinkToFit="0" vertical="center" wrapText="1"/>
    </xf>
    <xf borderId="0" fillId="0" fontId="68" numFmtId="0" xfId="0" applyAlignment="1" applyFont="1">
      <alignment horizontal="center" shrinkToFit="0" vertical="center" wrapText="1"/>
    </xf>
    <xf borderId="0" fillId="0" fontId="68" numFmtId="4" xfId="0" applyAlignment="1" applyFont="1" applyNumberFormat="1">
      <alignment horizontal="center" shrinkToFit="0" vertical="center" wrapText="1"/>
    </xf>
    <xf borderId="0" fillId="0" fontId="68" numFmtId="4" xfId="0" applyAlignment="1" applyFont="1" applyNumberFormat="1">
      <alignment horizontal="center" vertical="center"/>
    </xf>
    <xf borderId="0" fillId="0" fontId="68" numFmtId="0" xfId="0" applyAlignment="1" applyFont="1">
      <alignment horizontal="center" vertical="center"/>
    </xf>
    <xf borderId="0" fillId="0" fontId="68" numFmtId="4" xfId="0" applyAlignment="1" applyFont="1" applyNumberFormat="1">
      <alignment shrinkToFit="0" vertical="center" wrapText="1"/>
    </xf>
    <xf borderId="106" fillId="3" fontId="25" numFmtId="169" xfId="0" applyAlignment="1" applyBorder="1" applyFont="1" applyNumberFormat="1">
      <alignment horizontal="center" vertical="center"/>
    </xf>
    <xf borderId="114" fillId="6" fontId="15" numFmtId="2" xfId="0" applyAlignment="1" applyBorder="1" applyFont="1" applyNumberFormat="1">
      <alignment vertical="center"/>
    </xf>
    <xf borderId="82" fillId="0" fontId="19" numFmtId="173" xfId="0" applyAlignment="1" applyBorder="1" applyFont="1" applyNumberFormat="1">
      <alignment horizontal="right" shrinkToFit="0" vertical="center" wrapText="1"/>
    </xf>
    <xf borderId="30" fillId="0" fontId="19" numFmtId="179" xfId="0" applyAlignment="1" applyBorder="1" applyFont="1" applyNumberFormat="1">
      <alignment horizontal="center" vertical="center"/>
    </xf>
    <xf borderId="92" fillId="3" fontId="25" numFmtId="0" xfId="0" applyAlignment="1" applyBorder="1" applyFont="1">
      <alignment horizontal="right" shrinkToFit="0" vertical="center" wrapText="1"/>
    </xf>
    <xf borderId="30" fillId="0" fontId="19" numFmtId="168" xfId="0" applyAlignment="1" applyBorder="1" applyFont="1" applyNumberFormat="1">
      <alignment horizontal="center" vertical="center"/>
    </xf>
    <xf borderId="34" fillId="2" fontId="56" numFmtId="0" xfId="0" applyAlignment="1" applyBorder="1" applyFont="1">
      <alignment horizontal="center" shrinkToFit="0" vertical="center" wrapText="1"/>
    </xf>
    <xf borderId="25" fillId="0" fontId="19" numFmtId="0" xfId="0" applyAlignment="1" applyBorder="1" applyFont="1">
      <alignment horizontal="center" shrinkToFit="0" vertical="center" wrapText="1"/>
    </xf>
    <xf borderId="25" fillId="0" fontId="28" numFmtId="179" xfId="0" applyAlignment="1" applyBorder="1" applyFont="1" applyNumberFormat="1">
      <alignment horizontal="center" vertical="center"/>
    </xf>
    <xf borderId="92" fillId="0" fontId="19" numFmtId="0" xfId="0" applyAlignment="1" applyBorder="1" applyFont="1">
      <alignment horizontal="center" vertical="center"/>
    </xf>
    <xf borderId="10" fillId="0" fontId="19" numFmtId="2" xfId="0" applyAlignment="1" applyBorder="1" applyFont="1" applyNumberFormat="1">
      <alignment horizontal="center" vertical="center"/>
    </xf>
    <xf borderId="98" fillId="0" fontId="25" numFmtId="4" xfId="0" applyAlignment="1" applyBorder="1" applyFont="1" applyNumberFormat="1">
      <alignment horizontal="right" vertical="center"/>
    </xf>
    <xf borderId="0" fillId="0" fontId="18" numFmtId="0" xfId="0" applyFont="1"/>
    <xf borderId="30" fillId="0" fontId="28" numFmtId="168" xfId="0" applyAlignment="1" applyBorder="1" applyFont="1" applyNumberFormat="1">
      <alignment horizontal="center" vertical="center"/>
    </xf>
    <xf borderId="30" fillId="2" fontId="19" numFmtId="0" xfId="0" applyAlignment="1" applyBorder="1" applyFont="1">
      <alignment horizontal="center" shrinkToFit="0" vertical="center" wrapText="1"/>
    </xf>
    <xf borderId="53" fillId="2" fontId="19" numFmtId="0" xfId="0" applyAlignment="1" applyBorder="1" applyFont="1">
      <alignment horizontal="center" shrinkToFit="0" vertical="center" wrapText="1"/>
    </xf>
    <xf borderId="34" fillId="2" fontId="19" numFmtId="0" xfId="0" applyAlignment="1" applyBorder="1" applyFont="1">
      <alignment horizontal="center" shrinkToFit="0" vertical="center" wrapText="1"/>
    </xf>
    <xf borderId="7" fillId="0" fontId="19" numFmtId="0" xfId="0" applyAlignment="1" applyBorder="1" applyFont="1">
      <alignment horizontal="left" shrinkToFit="0" vertical="center" wrapText="1"/>
    </xf>
    <xf borderId="25" fillId="0" fontId="19" numFmtId="179" xfId="0" applyAlignment="1" applyBorder="1" applyFont="1" applyNumberFormat="1">
      <alignment horizontal="center" vertical="center"/>
    </xf>
    <xf borderId="31" fillId="2" fontId="19" numFmtId="0" xfId="0" applyAlignment="1" applyBorder="1" applyFont="1">
      <alignment horizontal="center" shrinkToFit="0" vertical="center" wrapText="1"/>
    </xf>
    <xf borderId="32" fillId="0" fontId="19" numFmtId="0" xfId="0" applyAlignment="1" applyBorder="1" applyFont="1">
      <alignment horizontal="center" shrinkToFit="0" vertical="center" wrapText="1"/>
    </xf>
    <xf borderId="32" fillId="0" fontId="19" numFmtId="179" xfId="0" applyAlignment="1" applyBorder="1" applyFont="1" applyNumberFormat="1">
      <alignment horizontal="center" vertical="center"/>
    </xf>
    <xf borderId="3" fillId="0" fontId="19" numFmtId="169" xfId="0" applyAlignment="1" applyBorder="1" applyFont="1" applyNumberFormat="1">
      <alignment horizontal="center" shrinkToFit="0" vertical="center" wrapText="1"/>
    </xf>
    <xf borderId="0" fillId="0" fontId="69" numFmtId="0" xfId="0" applyAlignment="1" applyFont="1">
      <alignment horizontal="center" shrinkToFit="0" vertical="center" wrapText="1"/>
    </xf>
    <xf borderId="0" fillId="0" fontId="69" numFmtId="4" xfId="0" applyAlignment="1" applyFont="1" applyNumberFormat="1">
      <alignment horizontal="center" shrinkToFit="0" vertical="center" wrapText="1"/>
    </xf>
    <xf borderId="0" fillId="0" fontId="46" numFmtId="0" xfId="0" applyAlignment="1" applyFont="1">
      <alignment shrinkToFit="0" wrapText="1"/>
    </xf>
    <xf borderId="0" fillId="0" fontId="48" numFmtId="0" xfId="0" applyAlignment="1" applyFont="1">
      <alignment horizontal="center" vertical="center"/>
    </xf>
    <xf borderId="0" fillId="0" fontId="33" numFmtId="0" xfId="0" applyAlignment="1" applyFont="1">
      <alignment horizontal="left" vertical="center"/>
    </xf>
    <xf borderId="0" fillId="0" fontId="68" numFmtId="180" xfId="0" applyAlignment="1" applyFont="1" applyNumberFormat="1">
      <alignment horizontal="center" shrinkToFit="0" vertical="center" wrapText="1"/>
    </xf>
    <xf borderId="0" fillId="0" fontId="68" numFmtId="0" xfId="0" applyAlignment="1" applyFont="1">
      <alignment vertical="center"/>
    </xf>
    <xf borderId="0" fillId="0" fontId="25" numFmtId="0" xfId="0" applyAlignment="1" applyFont="1">
      <alignment shrinkToFit="0" vertical="center" wrapText="1"/>
    </xf>
    <xf borderId="115" fillId="2" fontId="56" numFmtId="0" xfId="0" applyAlignment="1" applyBorder="1" applyFont="1">
      <alignment horizontal="center" shrinkToFit="0" vertical="center" wrapText="1"/>
    </xf>
    <xf borderId="9" fillId="0" fontId="19" numFmtId="0" xfId="0" applyAlignment="1" applyBorder="1" applyFont="1">
      <alignment horizontal="left" shrinkToFit="0" vertical="center" wrapText="1"/>
    </xf>
    <xf borderId="1" fillId="0" fontId="8" numFmtId="0" xfId="0" applyAlignment="1" applyBorder="1" applyFont="1">
      <alignment horizontal="center" shrinkToFit="0" wrapText="1"/>
    </xf>
    <xf borderId="4" fillId="0" fontId="25" numFmtId="0" xfId="0" applyAlignment="1" applyBorder="1" applyFont="1">
      <alignment horizontal="center" shrinkToFit="0" vertical="center" wrapText="1"/>
    </xf>
    <xf borderId="4" fillId="0" fontId="47" numFmtId="0" xfId="0" applyAlignment="1" applyBorder="1" applyFont="1">
      <alignment horizontal="right" vertical="center"/>
    </xf>
    <xf borderId="6" fillId="0" fontId="25" numFmtId="0" xfId="0" applyAlignment="1" applyBorder="1" applyFont="1">
      <alignment horizontal="center" shrinkToFit="0" vertical="center" wrapText="1"/>
    </xf>
    <xf borderId="7" fillId="0" fontId="25" numFmtId="0" xfId="0" applyAlignment="1" applyBorder="1" applyFont="1">
      <alignment horizontal="center" shrinkToFit="0" vertical="center" wrapText="1"/>
    </xf>
    <xf borderId="1" fillId="0" fontId="70" numFmtId="0" xfId="0" applyAlignment="1" applyBorder="1" applyFont="1">
      <alignment horizontal="center" shrinkToFit="0" vertical="center" wrapText="1"/>
    </xf>
    <xf borderId="4" fillId="0" fontId="71" numFmtId="0" xfId="0" applyAlignment="1" applyBorder="1" applyFont="1">
      <alignment horizontal="center" vertical="center"/>
    </xf>
    <xf borderId="0" fillId="0" fontId="71" numFmtId="0" xfId="0" applyAlignment="1" applyFont="1">
      <alignment horizontal="center" vertical="center"/>
    </xf>
    <xf borderId="5" fillId="0" fontId="71" numFmtId="0" xfId="0" applyAlignment="1" applyBorder="1" applyFont="1">
      <alignment horizontal="center" vertical="center"/>
    </xf>
    <xf borderId="4" fillId="0" fontId="70" numFmtId="0" xfId="0" applyAlignment="1" applyBorder="1" applyFont="1">
      <alignment horizontal="center" vertical="center"/>
    </xf>
    <xf borderId="0" fillId="0" fontId="70" numFmtId="0" xfId="0" applyAlignment="1" applyFont="1">
      <alignment horizontal="right" vertical="center"/>
    </xf>
    <xf borderId="5" fillId="0" fontId="70" numFmtId="17" xfId="0" applyAlignment="1" applyBorder="1" applyFont="1" applyNumberFormat="1">
      <alignment horizontal="center" vertical="center"/>
    </xf>
    <xf borderId="0" fillId="0" fontId="70" numFmtId="0" xfId="0" applyAlignment="1" applyFont="1">
      <alignment horizontal="center" vertical="center"/>
    </xf>
    <xf borderId="9" fillId="0" fontId="72" numFmtId="0" xfId="0" applyAlignment="1" applyBorder="1" applyFont="1">
      <alignment horizontal="center" vertical="center"/>
    </xf>
    <xf borderId="94" fillId="0" fontId="72" numFmtId="0" xfId="0" applyAlignment="1" applyBorder="1" applyFont="1">
      <alignment horizontal="center" vertical="center"/>
    </xf>
    <xf borderId="27" fillId="0" fontId="3" numFmtId="0" xfId="0" applyAlignment="1" applyBorder="1" applyFont="1">
      <alignment vertical="center"/>
    </xf>
    <xf borderId="28" fillId="0" fontId="3" numFmtId="0" xfId="0" applyAlignment="1" applyBorder="1" applyFont="1">
      <alignment vertical="center"/>
    </xf>
    <xf borderId="29" fillId="0" fontId="3" numFmtId="10" xfId="0" applyAlignment="1" applyBorder="1" applyFont="1" applyNumberFormat="1">
      <alignment vertical="center"/>
    </xf>
    <xf borderId="53" fillId="0" fontId="3" numFmtId="0" xfId="0" applyAlignment="1" applyBorder="1" applyFont="1">
      <alignment vertical="center"/>
    </xf>
    <xf borderId="30" fillId="0" fontId="3" numFmtId="0" xfId="0" applyAlignment="1" applyBorder="1" applyFont="1">
      <alignment vertical="center"/>
    </xf>
    <xf borderId="22" fillId="0" fontId="3" numFmtId="10" xfId="0" applyAlignment="1" applyBorder="1" applyFont="1" applyNumberFormat="1">
      <alignment vertical="center"/>
    </xf>
    <xf borderId="38" fillId="0" fontId="3" numFmtId="0" xfId="0" applyAlignment="1" applyBorder="1" applyFont="1">
      <alignment vertical="center"/>
    </xf>
    <xf borderId="59" fillId="0" fontId="3" numFmtId="0" xfId="0" applyAlignment="1" applyBorder="1" applyFont="1">
      <alignment vertical="center"/>
    </xf>
    <xf borderId="60" fillId="0" fontId="3" numFmtId="10" xfId="0" applyAlignment="1" applyBorder="1" applyFont="1" applyNumberFormat="1">
      <alignment vertical="center"/>
    </xf>
    <xf borderId="9" fillId="0" fontId="3" numFmtId="0" xfId="0" applyAlignment="1" applyBorder="1" applyFont="1">
      <alignment vertical="center"/>
    </xf>
    <xf borderId="93" fillId="0" fontId="25" numFmtId="0" xfId="0" applyAlignment="1" applyBorder="1" applyFont="1">
      <alignment horizontal="right" vertical="center"/>
    </xf>
    <xf borderId="94" fillId="0" fontId="25" numFmtId="10" xfId="0" applyAlignment="1" applyBorder="1" applyFont="1" applyNumberFormat="1">
      <alignment vertical="center"/>
    </xf>
    <xf borderId="22" fillId="0" fontId="19" numFmtId="10" xfId="0" applyAlignment="1" applyBorder="1" applyFont="1" applyNumberFormat="1">
      <alignment vertical="center"/>
    </xf>
    <xf borderId="30" fillId="0" fontId="3" numFmtId="10" xfId="0" applyAlignment="1" applyBorder="1" applyFont="1" applyNumberFormat="1">
      <alignment horizontal="left" vertical="center"/>
    </xf>
    <xf borderId="10" fillId="0" fontId="25" numFmtId="0" xfId="0" applyAlignment="1" applyBorder="1" applyFont="1">
      <alignment horizontal="right" vertical="center"/>
    </xf>
    <xf borderId="11" fillId="0" fontId="25" numFmtId="10" xfId="0" applyAlignment="1" applyBorder="1" applyFont="1" applyNumberFormat="1">
      <alignment vertical="center"/>
    </xf>
    <xf borderId="82" fillId="0" fontId="72" numFmtId="0" xfId="0" applyAlignment="1" applyBorder="1" applyFont="1">
      <alignment horizontal="left" vertical="center"/>
    </xf>
    <xf borderId="33" fillId="0" fontId="25" numFmtId="10" xfId="0" applyAlignment="1" applyBorder="1" applyFont="1" applyNumberFormat="1">
      <alignment vertical="center"/>
    </xf>
    <xf borderId="0" fillId="0" fontId="3" numFmtId="10" xfId="0" applyAlignment="1" applyFont="1" applyNumberFormat="1">
      <alignment vertical="center"/>
    </xf>
    <xf borderId="46" fillId="0" fontId="72" numFmtId="0" xfId="0" applyAlignment="1" applyBorder="1" applyFont="1">
      <alignment vertical="center"/>
    </xf>
    <xf borderId="54" fillId="0" fontId="72" numFmtId="0" xfId="0" applyAlignment="1" applyBorder="1" applyFont="1">
      <alignment horizontal="right" vertical="center"/>
    </xf>
    <xf borderId="26" fillId="0" fontId="25" numFmtId="10" xfId="0" applyAlignment="1" applyBorder="1" applyFont="1" applyNumberFormat="1">
      <alignment vertical="center"/>
    </xf>
    <xf borderId="9" fillId="0" fontId="26" numFmtId="0" xfId="0" applyAlignment="1" applyBorder="1" applyFont="1">
      <alignment horizontal="left" shrinkToFit="0" vertical="center" wrapText="1"/>
    </xf>
    <xf borderId="1" fillId="0" fontId="67" numFmtId="0" xfId="0" applyAlignment="1" applyBorder="1" applyFont="1">
      <alignment horizontal="center" vertical="center"/>
    </xf>
    <xf borderId="4" fillId="0" fontId="67" numFmtId="0" xfId="0" applyAlignment="1" applyBorder="1" applyFont="1">
      <alignment horizontal="center" vertical="center"/>
    </xf>
    <xf borderId="4" fillId="0" fontId="18" numFmtId="0" xfId="0" applyAlignment="1" applyBorder="1" applyFont="1">
      <alignment vertical="center"/>
    </xf>
    <xf borderId="0" fillId="0" fontId="18" numFmtId="0" xfId="0" applyAlignment="1" applyFont="1">
      <alignment vertical="center"/>
    </xf>
    <xf borderId="5" fillId="0" fontId="18" numFmtId="0" xfId="0" applyAlignment="1" applyBorder="1" applyFont="1">
      <alignment vertical="center"/>
    </xf>
    <xf borderId="4" fillId="0" fontId="67" numFmtId="0" xfId="0" applyAlignment="1" applyBorder="1" applyFont="1">
      <alignment horizontal="left" vertical="center"/>
    </xf>
    <xf borderId="0" fillId="0" fontId="67" numFmtId="2" xfId="0" applyAlignment="1" applyFont="1" applyNumberFormat="1">
      <alignment horizontal="left" shrinkToFit="0" vertical="center" wrapText="1"/>
    </xf>
    <xf borderId="5" fillId="0" fontId="18" numFmtId="2" xfId="0" applyAlignment="1" applyBorder="1" applyFont="1" applyNumberFormat="1">
      <alignment shrinkToFit="0" vertical="center" wrapText="1"/>
    </xf>
    <xf borderId="0" fillId="0" fontId="67" numFmtId="10" xfId="0" applyAlignment="1" applyFont="1" applyNumberFormat="1">
      <alignment horizontal="right" vertical="center"/>
    </xf>
    <xf borderId="5" fillId="0" fontId="67" numFmtId="10" xfId="0" applyAlignment="1" applyBorder="1" applyFont="1" applyNumberFormat="1">
      <alignment horizontal="center" vertical="center"/>
    </xf>
    <xf borderId="4" fillId="0" fontId="67" numFmtId="0" xfId="0" applyAlignment="1" applyBorder="1" applyFont="1">
      <alignment vertical="center"/>
    </xf>
    <xf borderId="0" fillId="0" fontId="67" numFmtId="0" xfId="0" applyAlignment="1" applyFont="1">
      <alignment vertical="center"/>
    </xf>
    <xf borderId="0" fillId="0" fontId="67" numFmtId="4" xfId="0" applyAlignment="1" applyFont="1" applyNumberFormat="1">
      <alignment horizontal="right" vertical="center"/>
    </xf>
    <xf borderId="5" fillId="0" fontId="67" numFmtId="49" xfId="0" applyAlignment="1" applyBorder="1" applyFont="1" applyNumberFormat="1">
      <alignment horizontal="center" vertical="center"/>
    </xf>
    <xf borderId="6" fillId="0" fontId="18" numFmtId="0" xfId="0" applyAlignment="1" applyBorder="1" applyFont="1">
      <alignment vertical="center"/>
    </xf>
    <xf borderId="7" fillId="0" fontId="18" numFmtId="0" xfId="0" applyAlignment="1" applyBorder="1" applyFont="1">
      <alignment vertical="center"/>
    </xf>
    <xf borderId="8" fillId="0" fontId="18" numFmtId="0" xfId="0" applyAlignment="1" applyBorder="1" applyFont="1">
      <alignment vertical="center"/>
    </xf>
    <xf borderId="9" fillId="0" fontId="67" numFmtId="0" xfId="0" applyAlignment="1" applyBorder="1" applyFont="1">
      <alignment horizontal="center" vertical="center"/>
    </xf>
    <xf borderId="91" fillId="9" fontId="67" numFmtId="0" xfId="0" applyAlignment="1" applyBorder="1" applyFill="1" applyFont="1">
      <alignment horizontal="right" shrinkToFit="0" vertical="center" wrapText="1"/>
    </xf>
    <xf borderId="92" fillId="10" fontId="67" numFmtId="0" xfId="0" applyAlignment="1" applyBorder="1" applyFill="1" applyFont="1">
      <alignment horizontal="left" vertical="center"/>
    </xf>
    <xf borderId="9" fillId="0" fontId="67" numFmtId="0" xfId="0" applyAlignment="1" applyBorder="1" applyFont="1">
      <alignment horizontal="right" shrinkToFit="0" vertical="center" wrapText="1"/>
    </xf>
    <xf borderId="10" fillId="0" fontId="67" numFmtId="169" xfId="0" applyAlignment="1" applyBorder="1" applyFont="1" applyNumberFormat="1">
      <alignment horizontal="left" shrinkToFit="0" vertical="center" wrapText="1"/>
    </xf>
    <xf borderId="11" fillId="0" fontId="67" numFmtId="169" xfId="0" applyAlignment="1" applyBorder="1" applyFont="1" applyNumberFormat="1">
      <alignment horizontal="left" shrinkToFit="0" vertical="center" wrapText="1"/>
    </xf>
    <xf borderId="9" fillId="0" fontId="67" numFmtId="0" xfId="0" applyAlignment="1" applyBorder="1" applyFont="1">
      <alignment horizontal="right" vertical="center"/>
    </xf>
    <xf borderId="10" fillId="0" fontId="67" numFmtId="0" xfId="0" applyAlignment="1" applyBorder="1" applyFont="1">
      <alignment horizontal="left" vertical="center"/>
    </xf>
    <xf borderId="11" fillId="0" fontId="67" numFmtId="0" xfId="0" applyAlignment="1" applyBorder="1" applyFont="1">
      <alignment horizontal="left" vertical="center"/>
    </xf>
    <xf borderId="82" fillId="0" fontId="18" numFmtId="0" xfId="0" applyAlignment="1" applyBorder="1" applyFont="1">
      <alignment horizontal="center" shrinkToFit="0" vertical="center" wrapText="1"/>
    </xf>
    <xf borderId="44" fillId="0" fontId="18" numFmtId="2" xfId="0" applyAlignment="1" applyBorder="1" applyFont="1" applyNumberFormat="1">
      <alignment horizontal="center" shrinkToFit="0" vertical="center" wrapText="1"/>
    </xf>
    <xf borderId="72" fillId="0" fontId="18" numFmtId="0" xfId="0" applyAlignment="1" applyBorder="1" applyFont="1">
      <alignment horizontal="center" vertical="center"/>
    </xf>
    <xf borderId="67" fillId="0" fontId="10" numFmtId="0" xfId="0" applyBorder="1" applyFont="1"/>
    <xf borderId="30" fillId="11" fontId="67" numFmtId="0" xfId="0" applyAlignment="1" applyBorder="1" applyFill="1" applyFont="1">
      <alignment horizontal="center" vertical="center"/>
    </xf>
    <xf borderId="20" fillId="11" fontId="67" numFmtId="0" xfId="0" applyAlignment="1" applyBorder="1" applyFont="1">
      <alignment horizontal="center" vertical="center"/>
    </xf>
    <xf borderId="75" fillId="0" fontId="10" numFmtId="0" xfId="0" applyBorder="1" applyFont="1"/>
    <xf borderId="30" fillId="0" fontId="18" numFmtId="169" xfId="0" applyAlignment="1" applyBorder="1" applyFont="1" applyNumberFormat="1">
      <alignment horizontal="center" shrinkToFit="0" vertical="center" wrapText="1"/>
    </xf>
    <xf borderId="20" fillId="0" fontId="18" numFmtId="0" xfId="0" applyAlignment="1" applyBorder="1" applyFont="1">
      <alignment horizontal="left" shrinkToFit="0" vertical="center" wrapText="1"/>
    </xf>
    <xf borderId="46" fillId="11" fontId="67" numFmtId="0" xfId="0" applyAlignment="1" applyBorder="1" applyFont="1">
      <alignment horizontal="right" vertical="center"/>
    </xf>
    <xf borderId="25" fillId="11" fontId="67" numFmtId="169" xfId="0" applyAlignment="1" applyBorder="1" applyFont="1" applyNumberFormat="1">
      <alignment horizontal="center" shrinkToFit="0" vertical="center" wrapText="1"/>
    </xf>
    <xf borderId="55" fillId="11" fontId="18" numFmtId="0" xfId="0" applyAlignment="1" applyBorder="1" applyFont="1">
      <alignment horizontal="center" shrinkToFit="0" vertical="center" wrapText="1"/>
    </xf>
    <xf borderId="10" fillId="0" fontId="67" numFmtId="0" xfId="0" applyAlignment="1" applyBorder="1" applyFont="1">
      <alignment horizontal="right" vertical="center"/>
    </xf>
    <xf borderId="10" fillId="0" fontId="67" numFmtId="169" xfId="0" applyAlignment="1" applyBorder="1" applyFont="1" applyNumberFormat="1">
      <alignment horizontal="center" shrinkToFit="0" vertical="center" wrapText="1"/>
    </xf>
    <xf borderId="10" fillId="0" fontId="18" numFmtId="0" xfId="0" applyAlignment="1" applyBorder="1" applyFont="1">
      <alignment horizontal="center" shrinkToFit="0" vertical="center" wrapText="1"/>
    </xf>
    <xf borderId="11" fillId="0" fontId="18" numFmtId="0" xfId="0" applyAlignment="1" applyBorder="1" applyFont="1">
      <alignment horizontal="center" shrinkToFit="0" vertical="center" wrapText="1"/>
    </xf>
    <xf borderId="44" fillId="0" fontId="18" numFmtId="0" xfId="0" applyAlignment="1" applyBorder="1" applyFont="1">
      <alignment horizontal="center" shrinkToFit="0" vertical="center" wrapText="1"/>
    </xf>
    <xf borderId="72" fillId="0" fontId="67" numFmtId="2" xfId="0" applyAlignment="1" applyBorder="1" applyFont="1" applyNumberFormat="1">
      <alignment horizontal="center" shrinkToFit="0" vertical="center" wrapText="1"/>
    </xf>
    <xf borderId="53" fillId="11" fontId="67" numFmtId="0" xfId="0" applyAlignment="1" applyBorder="1" applyFont="1">
      <alignment horizontal="center" shrinkToFit="0" vertical="center" wrapText="1"/>
    </xf>
    <xf borderId="30" fillId="11" fontId="67" numFmtId="0" xfId="0" applyAlignment="1" applyBorder="1" applyFont="1">
      <alignment horizontal="center" shrinkToFit="0" vertical="center" wrapText="1"/>
    </xf>
    <xf borderId="57" fillId="11" fontId="67" numFmtId="0" xfId="0" applyAlignment="1" applyBorder="1" applyFont="1">
      <alignment horizontal="center" shrinkToFit="0" vertical="center" wrapText="1"/>
    </xf>
    <xf borderId="20" fillId="11" fontId="67" numFmtId="0" xfId="0" applyAlignment="1" applyBorder="1" applyFont="1">
      <alignment horizontal="center" shrinkToFit="0" vertical="center" wrapText="1"/>
    </xf>
    <xf borderId="53" fillId="0" fontId="18" numFmtId="2" xfId="0" applyAlignment="1" applyBorder="1" applyFont="1" applyNumberFormat="1">
      <alignment horizontal="center" shrinkToFit="0" vertical="center" wrapText="1"/>
    </xf>
    <xf borderId="30" fillId="0" fontId="18" numFmtId="2" xfId="0" applyAlignment="1" applyBorder="1" applyFont="1" applyNumberFormat="1">
      <alignment horizontal="center" shrinkToFit="0" vertical="center" wrapText="1"/>
    </xf>
    <xf borderId="21" fillId="0" fontId="18" numFmtId="2" xfId="0" applyAlignment="1" applyBorder="1" applyFont="1" applyNumberFormat="1">
      <alignment shrinkToFit="0" vertical="center" wrapText="1"/>
    </xf>
    <xf borderId="85" fillId="0" fontId="18" numFmtId="2" xfId="0" applyAlignment="1" applyBorder="1" applyFont="1" applyNumberFormat="1">
      <alignment horizontal="center" shrinkToFit="0" vertical="center" wrapText="1"/>
    </xf>
    <xf quotePrefix="1" borderId="46" fillId="11" fontId="67" numFmtId="169" xfId="0" applyAlignment="1" applyBorder="1" applyFont="1" applyNumberFormat="1">
      <alignment horizontal="right" shrinkToFit="0" vertical="center" wrapText="1"/>
    </xf>
    <xf borderId="116" fillId="11" fontId="67" numFmtId="2" xfId="0" applyAlignment="1" applyBorder="1" applyFont="1" applyNumberFormat="1">
      <alignment horizontal="center" shrinkToFit="0" vertical="center" wrapText="1"/>
    </xf>
    <xf borderId="116" fillId="11" fontId="18" numFmtId="2" xfId="0" applyAlignment="1" applyBorder="1" applyFont="1" applyNumberFormat="1">
      <alignment horizontal="center" shrinkToFit="0" vertical="center" wrapText="1"/>
    </xf>
    <xf borderId="117" fillId="11" fontId="18" numFmtId="2" xfId="0" applyAlignment="1" applyBorder="1" applyFont="1" applyNumberFormat="1">
      <alignment horizontal="center" shrinkToFit="0" vertical="center" wrapText="1"/>
    </xf>
    <xf borderId="6" fillId="0" fontId="67" numFmtId="169" xfId="0" applyAlignment="1" applyBorder="1" applyFont="1" applyNumberFormat="1">
      <alignment horizontal="right" shrinkToFit="0" vertical="center" wrapText="1"/>
    </xf>
    <xf borderId="7" fillId="0" fontId="67" numFmtId="169" xfId="0" applyAlignment="1" applyBorder="1" applyFont="1" applyNumberFormat="1">
      <alignment horizontal="right" shrinkToFit="0" vertical="center" wrapText="1"/>
    </xf>
    <xf borderId="7" fillId="0" fontId="18" numFmtId="2" xfId="0" applyAlignment="1" applyBorder="1" applyFont="1" applyNumberFormat="1">
      <alignment horizontal="center" shrinkToFit="0" vertical="center" wrapText="1"/>
    </xf>
    <xf borderId="8" fillId="0" fontId="18" numFmtId="2" xfId="0" applyAlignment="1" applyBorder="1" applyFont="1" applyNumberFormat="1">
      <alignment horizontal="center" shrinkToFit="0" vertical="center" wrapText="1"/>
    </xf>
    <xf borderId="86" fillId="9" fontId="67" numFmtId="0" xfId="0" applyAlignment="1" applyBorder="1" applyFont="1">
      <alignment horizontal="right" shrinkToFit="0" vertical="center" wrapText="1"/>
    </xf>
    <xf borderId="87" fillId="10" fontId="67" numFmtId="0" xfId="0" applyAlignment="1" applyBorder="1" applyFont="1">
      <alignment horizontal="left" shrinkToFit="0" vertical="center" wrapText="1"/>
    </xf>
    <xf borderId="118" fillId="0" fontId="10" numFmtId="0" xfId="0" applyBorder="1" applyFont="1"/>
    <xf borderId="44" fillId="0" fontId="67" numFmtId="2" xfId="0" applyAlignment="1" applyBorder="1" applyFont="1" applyNumberFormat="1">
      <alignment horizontal="center" shrinkToFit="0" vertical="center" wrapText="1"/>
    </xf>
    <xf borderId="79" fillId="11" fontId="67" numFmtId="0" xfId="0" applyAlignment="1" applyBorder="1" applyFont="1">
      <alignment horizontal="center" shrinkToFit="0" vertical="center" wrapText="1"/>
    </xf>
    <xf borderId="119" fillId="11" fontId="67" numFmtId="0" xfId="0" applyAlignment="1" applyBorder="1" applyFont="1">
      <alignment horizontal="center" shrinkToFit="0" vertical="center" wrapText="1"/>
    </xf>
    <xf borderId="120" fillId="0" fontId="10" numFmtId="0" xfId="0" applyBorder="1" applyFont="1"/>
    <xf borderId="58" fillId="11" fontId="67" numFmtId="0" xfId="0" applyAlignment="1" applyBorder="1" applyFont="1">
      <alignment horizontal="center" shrinkToFit="0" vertical="center" wrapText="1"/>
    </xf>
    <xf borderId="121" fillId="0" fontId="10" numFmtId="0" xfId="0" applyBorder="1" applyFont="1"/>
    <xf borderId="122" fillId="0" fontId="10" numFmtId="0" xfId="0" applyBorder="1" applyFont="1"/>
    <xf quotePrefix="1" borderId="53" fillId="0" fontId="18" numFmtId="169" xfId="0" applyAlignment="1" applyBorder="1" applyFont="1" applyNumberFormat="1">
      <alignment horizontal="center" shrinkToFit="0" vertical="center" wrapText="1"/>
    </xf>
    <xf quotePrefix="1" borderId="20" fillId="0" fontId="18" numFmtId="169" xfId="0" applyAlignment="1" applyBorder="1" applyFont="1" applyNumberFormat="1">
      <alignment horizontal="center" shrinkToFit="0" vertical="center" wrapText="1"/>
    </xf>
    <xf borderId="30" fillId="0" fontId="18" numFmtId="169" xfId="0" applyAlignment="1" applyBorder="1" applyFont="1" applyNumberFormat="1">
      <alignment shrinkToFit="0" vertical="center" wrapText="1"/>
    </xf>
    <xf quotePrefix="1" borderId="39" fillId="0" fontId="18" numFmtId="169" xfId="0" applyAlignment="1" applyBorder="1" applyFont="1" applyNumberFormat="1">
      <alignment horizontal="center" shrinkToFit="0" vertical="center" wrapText="1"/>
    </xf>
    <xf quotePrefix="1" borderId="53" fillId="0" fontId="18" numFmtId="0" xfId="0" applyAlignment="1" applyBorder="1" applyFont="1">
      <alignment horizontal="center" shrinkToFit="0" vertical="center" wrapText="1"/>
    </xf>
    <xf borderId="20" fillId="0" fontId="18" numFmtId="0" xfId="0" applyAlignment="1" applyBorder="1" applyFont="1">
      <alignment horizontal="center" vertical="center"/>
    </xf>
    <xf borderId="30" fillId="0" fontId="18" numFmtId="2" xfId="0" applyAlignment="1" applyBorder="1" applyFont="1" applyNumberFormat="1">
      <alignment vertical="center"/>
    </xf>
    <xf borderId="123" fillId="0" fontId="10" numFmtId="0" xfId="0" applyBorder="1" applyFont="1"/>
    <xf borderId="37" fillId="0" fontId="10" numFmtId="0" xfId="0" applyBorder="1" applyFont="1"/>
    <xf borderId="124" fillId="0" fontId="10" numFmtId="0" xfId="0" applyBorder="1" applyFont="1"/>
    <xf borderId="125" fillId="11" fontId="18" numFmtId="0" xfId="0" applyAlignment="1" applyBorder="1" applyFont="1">
      <alignment shrinkToFit="0" vertical="center" wrapText="1"/>
    </xf>
    <xf borderId="116" fillId="11" fontId="67" numFmtId="0" xfId="0" applyAlignment="1" applyBorder="1" applyFont="1">
      <alignment horizontal="center" vertical="center"/>
    </xf>
    <xf quotePrefix="1" borderId="116" fillId="11" fontId="67" numFmtId="169" xfId="0" applyAlignment="1" applyBorder="1" applyFont="1" applyNumberFormat="1">
      <alignment horizontal="center" shrinkToFit="0" vertical="center" wrapText="1"/>
    </xf>
    <xf borderId="25" fillId="11" fontId="67" numFmtId="169" xfId="0" applyAlignment="1" applyBorder="1" applyFont="1" applyNumberFormat="1">
      <alignment horizontal="right" shrinkToFit="0" vertical="center" wrapText="1"/>
    </xf>
    <xf borderId="126" fillId="11" fontId="18" numFmtId="169" xfId="0" applyAlignment="1" applyBorder="1" applyFont="1" applyNumberFormat="1">
      <alignment shrinkToFit="0" vertical="center" wrapText="1"/>
    </xf>
    <xf borderId="108" fillId="11" fontId="18" numFmtId="169" xfId="0" applyAlignment="1" applyBorder="1" applyFont="1" applyNumberFormat="1">
      <alignment shrinkToFit="0" vertical="center" wrapText="1"/>
    </xf>
    <xf borderId="127" fillId="11" fontId="18" numFmtId="169" xfId="0" applyAlignment="1" applyBorder="1" applyFont="1" applyNumberFormat="1">
      <alignment shrinkToFit="0" vertical="center" wrapText="1"/>
    </xf>
    <xf borderId="4" fillId="0" fontId="67" numFmtId="0" xfId="0" applyAlignment="1" applyBorder="1" applyFont="1">
      <alignment horizontal="right" vertical="center"/>
    </xf>
    <xf borderId="0" fillId="0" fontId="67" numFmtId="0" xfId="0" applyAlignment="1" applyFont="1">
      <alignment horizontal="right" vertical="center"/>
    </xf>
    <xf borderId="0" fillId="0" fontId="67" numFmtId="169" xfId="0" applyAlignment="1" applyFont="1" applyNumberFormat="1">
      <alignment horizontal="center" shrinkToFit="0" vertical="center" wrapText="1"/>
    </xf>
    <xf borderId="5" fillId="0" fontId="18" numFmtId="0" xfId="0" applyAlignment="1" applyBorder="1" applyFont="1">
      <alignment horizontal="center" shrinkToFit="0" vertical="center" wrapText="1"/>
    </xf>
    <xf borderId="46" fillId="0" fontId="18" numFmtId="2" xfId="0" applyAlignment="1" applyBorder="1" applyFont="1" applyNumberFormat="1">
      <alignment horizontal="center" shrinkToFit="0" vertical="center" wrapText="1"/>
    </xf>
    <xf borderId="53" fillId="0" fontId="73" numFmtId="2" xfId="0" applyAlignment="1" applyBorder="1" applyFont="1" applyNumberFormat="1">
      <alignment horizontal="center" shrinkToFit="0" vertical="center" wrapText="1"/>
    </xf>
    <xf borderId="20" fillId="0" fontId="18" numFmtId="2" xfId="0" applyAlignment="1" applyBorder="1" applyFont="1" applyNumberFormat="1">
      <alignment horizontal="center" shrinkToFit="0" vertical="center" wrapText="1"/>
    </xf>
    <xf borderId="30" fillId="0" fontId="67" numFmtId="2" xfId="0" applyAlignment="1" applyBorder="1" applyFont="1" applyNumberFormat="1">
      <alignment horizontal="center" shrinkToFit="0" vertical="center" wrapText="1"/>
    </xf>
    <xf borderId="4" fillId="0" fontId="18" numFmtId="2" xfId="0" applyAlignment="1" applyBorder="1" applyFont="1" applyNumberFormat="1">
      <alignment horizontal="center" shrinkToFit="0" vertical="center" wrapText="1"/>
    </xf>
    <xf borderId="0" fillId="0" fontId="18" numFmtId="2" xfId="0" applyAlignment="1" applyFont="1" applyNumberFormat="1">
      <alignment horizontal="center" shrinkToFit="0" vertical="center" wrapText="1"/>
    </xf>
    <xf borderId="5" fillId="0" fontId="18" numFmtId="2" xfId="0" applyAlignment="1" applyBorder="1" applyFont="1" applyNumberFormat="1">
      <alignment horizontal="center" shrinkToFit="0" vertical="center" wrapText="1"/>
    </xf>
    <xf borderId="4" fillId="0" fontId="67" numFmtId="0" xfId="0" applyAlignment="1" applyBorder="1" applyFont="1">
      <alignment shrinkToFit="0" vertical="center" wrapText="1"/>
    </xf>
    <xf borderId="0" fillId="0" fontId="67" numFmtId="0" xfId="0" applyAlignment="1" applyFont="1">
      <alignment horizontal="center" vertical="center"/>
    </xf>
    <xf borderId="75" fillId="0" fontId="18" numFmtId="0" xfId="0" applyAlignment="1" applyBorder="1" applyFont="1">
      <alignment horizontal="center" shrinkToFit="0" vertical="center" wrapText="1"/>
    </xf>
    <xf borderId="53" fillId="0" fontId="18" numFmtId="0" xfId="0" applyAlignment="1" applyBorder="1" applyFont="1">
      <alignment horizontal="center" shrinkToFit="0" vertical="center" wrapText="1"/>
    </xf>
    <xf borderId="30" fillId="0" fontId="18" numFmtId="169" xfId="0" applyAlignment="1" applyBorder="1" applyFont="1" applyNumberFormat="1">
      <alignment horizontal="right" shrinkToFit="0" vertical="center" wrapText="1"/>
    </xf>
    <xf borderId="20" fillId="0" fontId="18" numFmtId="169" xfId="0" applyAlignment="1" applyBorder="1" applyFont="1" applyNumberFormat="1">
      <alignment horizontal="right" shrinkToFit="0" vertical="center" wrapText="1"/>
    </xf>
    <xf borderId="46" fillId="11" fontId="67" numFmtId="0" xfId="0" applyAlignment="1" applyBorder="1" applyFont="1">
      <alignment horizontal="right" shrinkToFit="0" vertical="center" wrapText="1"/>
    </xf>
    <xf borderId="26" fillId="11" fontId="67" numFmtId="169" xfId="0" applyAlignment="1" applyBorder="1" applyFont="1" applyNumberFormat="1">
      <alignment horizontal="right" shrinkToFit="0" vertical="center" wrapText="1"/>
    </xf>
    <xf borderId="4" fillId="0" fontId="67" numFmtId="0" xfId="0" applyAlignment="1" applyBorder="1" applyFont="1">
      <alignment horizontal="center" shrinkToFit="0" vertical="center" wrapText="1"/>
    </xf>
    <xf borderId="0" fillId="0" fontId="67" numFmtId="0" xfId="0" applyAlignment="1" applyFont="1">
      <alignment horizontal="center" shrinkToFit="0" vertical="center" wrapText="1"/>
    </xf>
    <xf borderId="0" fillId="0" fontId="67" numFmtId="169" xfId="0" applyAlignment="1" applyFont="1" applyNumberFormat="1">
      <alignment horizontal="right" shrinkToFit="0" vertical="center" wrapText="1"/>
    </xf>
    <xf borderId="5" fillId="0" fontId="67" numFmtId="169" xfId="0" applyAlignment="1" applyBorder="1" applyFont="1" applyNumberFormat="1">
      <alignment horizontal="center" shrinkToFit="0" vertical="center" wrapText="1"/>
    </xf>
    <xf borderId="44" fillId="0" fontId="67" numFmtId="0" xfId="0" applyAlignment="1" applyBorder="1" applyFont="1">
      <alignment horizontal="center" shrinkToFit="0" vertical="center" wrapText="1"/>
    </xf>
    <xf borderId="30" fillId="0" fontId="67" numFmtId="0" xfId="0" applyAlignment="1" applyBorder="1" applyFont="1">
      <alignment horizontal="center" shrinkToFit="0" vertical="center" wrapText="1"/>
    </xf>
    <xf borderId="20" fillId="0" fontId="67" numFmtId="0" xfId="0" applyAlignment="1" applyBorder="1" applyFont="1">
      <alignment horizontal="center" shrinkToFit="0" vertical="center" wrapText="1"/>
    </xf>
    <xf quotePrefix="1" borderId="44" fillId="0" fontId="18" numFmtId="169" xfId="0" applyAlignment="1" applyBorder="1" applyFont="1" applyNumberFormat="1">
      <alignment horizontal="center" shrinkToFit="0" vertical="center" wrapText="1"/>
    </xf>
    <xf quotePrefix="1" borderId="59" fillId="0" fontId="18" numFmtId="169" xfId="0" applyAlignment="1" applyBorder="1" applyFont="1" applyNumberFormat="1">
      <alignment horizontal="center" shrinkToFit="0" vertical="center" wrapText="1"/>
    </xf>
    <xf borderId="59" fillId="0" fontId="18" numFmtId="169" xfId="0" applyAlignment="1" applyBorder="1" applyFont="1" applyNumberFormat="1">
      <alignment horizontal="center" shrinkToFit="0" vertical="center" wrapText="1"/>
    </xf>
    <xf borderId="39" fillId="0" fontId="18" numFmtId="0" xfId="0" applyAlignment="1" applyBorder="1" applyFont="1">
      <alignment horizontal="center" vertical="center"/>
    </xf>
    <xf borderId="126" fillId="11" fontId="67" numFmtId="169" xfId="0" applyAlignment="1" applyBorder="1" applyFont="1" applyNumberFormat="1">
      <alignment horizontal="right" shrinkToFit="0" vertical="center" wrapText="1"/>
    </xf>
    <xf borderId="55" fillId="11" fontId="67" numFmtId="0" xfId="0" applyAlignment="1" applyBorder="1" applyFont="1">
      <alignment horizontal="center" shrinkToFit="0" vertical="center" wrapText="1"/>
    </xf>
    <xf borderId="37" fillId="0" fontId="18" numFmtId="0" xfId="0" applyAlignment="1" applyBorder="1" applyFont="1">
      <alignment horizontal="center" shrinkToFit="0" vertical="center" wrapText="1"/>
    </xf>
    <xf borderId="124" fillId="0" fontId="18" numFmtId="0" xfId="0" applyAlignment="1" applyBorder="1" applyFont="1">
      <alignment horizontal="center" shrinkToFit="0" vertical="center" wrapText="1"/>
    </xf>
    <xf borderId="6" fillId="0" fontId="67" numFmtId="0" xfId="0" applyAlignment="1" applyBorder="1" applyFont="1">
      <alignment horizontal="right" shrinkToFit="0" vertical="center" wrapText="1"/>
    </xf>
    <xf borderId="7" fillId="0" fontId="67" numFmtId="0" xfId="0" applyAlignment="1" applyBorder="1" applyFont="1">
      <alignment horizontal="right" shrinkToFit="0" vertical="center" wrapText="1"/>
    </xf>
    <xf borderId="7" fillId="0" fontId="67" numFmtId="0" xfId="0" applyAlignment="1" applyBorder="1" applyFont="1">
      <alignment horizontal="center" shrinkToFit="0" vertical="center" wrapText="1"/>
    </xf>
    <xf borderId="8" fillId="0" fontId="67" numFmtId="0" xfId="0" applyAlignment="1" applyBorder="1" applyFont="1">
      <alignment horizontal="center" shrinkToFit="0" vertical="center" wrapText="1"/>
    </xf>
    <xf borderId="53" fillId="0" fontId="67" numFmtId="0" xfId="0" applyAlignment="1" applyBorder="1" applyFont="1">
      <alignment horizontal="center" shrinkToFit="0" vertical="center" wrapText="1"/>
    </xf>
    <xf borderId="39" fillId="0" fontId="18" numFmtId="169" xfId="0" applyAlignment="1" applyBorder="1" applyFont="1" applyNumberFormat="1">
      <alignment horizontal="center" shrinkToFit="0" vertical="center" wrapText="1"/>
    </xf>
    <xf borderId="9" fillId="0" fontId="67" numFmtId="0" xfId="0" applyAlignment="1" applyBorder="1" applyFont="1">
      <alignment horizontal="center" shrinkToFit="0" vertical="center" wrapText="1"/>
    </xf>
    <xf borderId="20" fillId="0" fontId="18" numFmtId="169" xfId="0" applyAlignment="1" applyBorder="1" applyFont="1" applyNumberFormat="1">
      <alignment horizontal="center" shrinkToFit="0" vertical="center" wrapText="1"/>
    </xf>
    <xf borderId="34" fillId="11" fontId="67" numFmtId="0" xfId="0" applyAlignment="1" applyBorder="1" applyFont="1">
      <alignment horizontal="right" shrinkToFit="0" vertical="center" wrapText="1"/>
    </xf>
    <xf borderId="128" fillId="11" fontId="67" numFmtId="2" xfId="0" applyAlignment="1" applyBorder="1" applyFont="1" applyNumberFormat="1">
      <alignment horizontal="center" shrinkToFit="0" vertical="center" wrapText="1"/>
    </xf>
    <xf borderId="4" fillId="0" fontId="67" numFmtId="0" xfId="0" applyAlignment="1" applyBorder="1" applyFont="1">
      <alignment horizontal="right" shrinkToFit="0" vertical="center" wrapText="1"/>
    </xf>
    <xf borderId="0" fillId="0" fontId="67" numFmtId="2" xfId="0" applyAlignment="1" applyFont="1" applyNumberFormat="1">
      <alignment horizontal="center" shrinkToFit="0" vertical="center" wrapText="1"/>
    </xf>
    <xf borderId="0" fillId="0" fontId="18" numFmtId="169" xfId="0" applyAlignment="1" applyFont="1" applyNumberFormat="1">
      <alignment shrinkToFit="0" vertical="center" wrapText="1"/>
    </xf>
    <xf borderId="5" fillId="0" fontId="18" numFmtId="169" xfId="0" applyAlignment="1" applyBorder="1" applyFont="1" applyNumberFormat="1">
      <alignment shrinkToFit="0" vertical="center" wrapText="1"/>
    </xf>
    <xf borderId="53" fillId="11" fontId="67" numFmtId="0" xfId="0" applyAlignment="1" applyBorder="1" applyFont="1">
      <alignment horizontal="center" vertical="center"/>
    </xf>
    <xf borderId="30" fillId="11" fontId="67" numFmtId="0" xfId="0" applyAlignment="1" applyBorder="1" applyFont="1">
      <alignment horizontal="right" vertical="center"/>
    </xf>
    <xf borderId="129" fillId="11" fontId="67" numFmtId="0" xfId="0" applyAlignment="1" applyBorder="1" applyFont="1">
      <alignment horizontal="center" vertical="center"/>
    </xf>
    <xf borderId="130" fillId="0" fontId="10" numFmtId="0" xfId="0" applyBorder="1" applyFont="1"/>
    <xf borderId="30" fillId="0" fontId="18" numFmtId="2" xfId="0" applyAlignment="1" applyBorder="1" applyFont="1" applyNumberFormat="1">
      <alignment horizontal="center" vertical="center"/>
    </xf>
    <xf borderId="30" fillId="0" fontId="18" numFmtId="0" xfId="0" applyAlignment="1" applyBorder="1" applyFont="1">
      <alignment vertical="center"/>
    </xf>
    <xf borderId="30" fillId="0" fontId="67" numFmtId="2" xfId="0" applyAlignment="1" applyBorder="1" applyFont="1" applyNumberFormat="1">
      <alignment vertical="center"/>
    </xf>
    <xf borderId="123" fillId="0" fontId="67" numFmtId="0" xfId="0" applyAlignment="1" applyBorder="1" applyFont="1">
      <alignment horizontal="center" vertical="center"/>
    </xf>
    <xf borderId="46" fillId="12" fontId="67" numFmtId="0" xfId="0" applyAlignment="1" applyBorder="1" applyFill="1" applyFont="1">
      <alignment horizontal="right" shrinkToFit="0" vertical="center" wrapText="1"/>
    </xf>
    <xf borderId="25" fillId="12" fontId="67" numFmtId="169" xfId="0" applyAlignment="1" applyBorder="1" applyFont="1" applyNumberFormat="1">
      <alignment horizontal="right" shrinkToFit="0" vertical="center" wrapText="1"/>
    </xf>
    <xf borderId="25" fillId="11" fontId="67" numFmtId="2" xfId="0" applyAlignment="1" applyBorder="1" applyFont="1" applyNumberFormat="1">
      <alignment vertical="center"/>
    </xf>
    <xf borderId="7" fillId="0" fontId="67" numFmtId="0" xfId="0" applyAlignment="1" applyBorder="1" applyFont="1">
      <alignment vertical="center"/>
    </xf>
    <xf borderId="8" fillId="0" fontId="67" numFmtId="0" xfId="0" applyAlignment="1" applyBorder="1" applyFont="1">
      <alignment vertical="center"/>
    </xf>
    <xf borderId="116" fillId="11" fontId="67" numFmtId="0" xfId="0" applyAlignment="1" applyBorder="1" applyFont="1">
      <alignment vertical="center"/>
    </xf>
    <xf borderId="117" fillId="11" fontId="67" numFmtId="0" xfId="0" applyAlignment="1" applyBorder="1" applyFont="1">
      <alignment vertical="center"/>
    </xf>
    <xf borderId="59" fillId="0" fontId="18" numFmtId="169" xfId="0" applyAlignment="1" applyBorder="1" applyFont="1" applyNumberFormat="1">
      <alignment horizontal="right" shrinkToFit="0" vertical="center" wrapText="1"/>
    </xf>
    <xf borderId="30" fillId="0" fontId="18" numFmtId="1" xfId="0" applyAlignment="1" applyBorder="1" applyFont="1" applyNumberFormat="1">
      <alignment horizontal="right" shrinkToFit="0" vertical="center" wrapText="1"/>
    </xf>
    <xf borderId="131" fillId="11" fontId="67" numFmtId="0" xfId="0" applyAlignment="1" applyBorder="1" applyFont="1">
      <alignment horizontal="right" shrinkToFit="0" vertical="center" wrapText="1"/>
    </xf>
    <xf borderId="126" fillId="11" fontId="67" numFmtId="181" xfId="0" applyAlignment="1" applyBorder="1" applyFont="1" applyNumberFormat="1">
      <alignment horizontal="right" shrinkToFit="0" vertical="center" wrapText="1"/>
    </xf>
    <xf borderId="25" fillId="11" fontId="67" numFmtId="169" xfId="0" applyAlignment="1" applyBorder="1" applyFont="1" applyNumberFormat="1">
      <alignment shrinkToFit="0" vertical="center" wrapText="1"/>
    </xf>
    <xf borderId="55" fillId="0" fontId="67" numFmtId="0" xfId="0" applyAlignment="1" applyBorder="1" applyFont="1">
      <alignment horizontal="center" shrinkToFit="0" vertical="center" wrapText="1"/>
    </xf>
    <xf borderId="16" fillId="0" fontId="18" numFmtId="0" xfId="0" applyAlignment="1" applyBorder="1" applyFont="1">
      <alignment horizontal="center" shrinkToFit="0" vertical="center" wrapText="1"/>
    </xf>
    <xf borderId="17" fillId="0" fontId="18" numFmtId="1" xfId="0" applyAlignment="1" applyBorder="1" applyFont="1" applyNumberFormat="1">
      <alignment horizontal="center" vertical="center"/>
    </xf>
    <xf borderId="20" fillId="0" fontId="67" numFmtId="0" xfId="0" applyAlignment="1" applyBorder="1" applyFont="1">
      <alignment horizontal="center" vertical="center"/>
    </xf>
    <xf borderId="21" fillId="0" fontId="18" numFmtId="1" xfId="0" applyAlignment="1" applyBorder="1" applyFont="1" applyNumberFormat="1">
      <alignment horizontal="center" vertical="center"/>
    </xf>
    <xf borderId="131" fillId="12" fontId="67" numFmtId="0" xfId="0" applyAlignment="1" applyBorder="1" applyFont="1">
      <alignment shrinkToFit="0" vertical="center" wrapText="1"/>
    </xf>
    <xf borderId="108" fillId="12" fontId="67" numFmtId="0" xfId="0" applyAlignment="1" applyBorder="1" applyFont="1">
      <alignment shrinkToFit="0" vertical="center" wrapText="1"/>
    </xf>
    <xf borderId="108" fillId="11" fontId="67" numFmtId="0" xfId="0" applyAlignment="1" applyBorder="1" applyFont="1">
      <alignment vertical="center"/>
    </xf>
    <xf borderId="127" fillId="11" fontId="67" numFmtId="0" xfId="0" applyAlignment="1" applyBorder="1" applyFont="1">
      <alignment vertical="center"/>
    </xf>
    <xf borderId="92" fillId="0" fontId="74" numFmtId="0" xfId="0" applyAlignment="1" applyBorder="1" applyFont="1">
      <alignment shrinkToFit="0" vertical="center" wrapText="1"/>
    </xf>
    <xf borderId="9" fillId="13" fontId="75" numFmtId="0" xfId="0" applyAlignment="1" applyBorder="1" applyFill="1" applyFont="1">
      <alignment horizontal="center" shrinkToFit="0" vertical="center" wrapText="1"/>
    </xf>
    <xf borderId="9" fillId="14" fontId="76" numFmtId="0" xfId="0" applyAlignment="1" applyBorder="1" applyFill="1" applyFont="1">
      <alignment horizontal="center" vertical="center"/>
    </xf>
    <xf borderId="9" fillId="7" fontId="77" numFmtId="0" xfId="0" applyAlignment="1" applyBorder="1" applyFont="1">
      <alignment horizontal="center" vertical="center"/>
    </xf>
    <xf borderId="52" fillId="0" fontId="51" numFmtId="0" xfId="0" applyAlignment="1" applyBorder="1" applyFont="1">
      <alignment horizontal="center" vertical="center"/>
    </xf>
    <xf borderId="27" fillId="0" fontId="3" numFmtId="0" xfId="0" applyAlignment="1" applyBorder="1" applyFont="1">
      <alignment horizontal="left" shrinkToFit="0" vertical="center" wrapText="1"/>
    </xf>
    <xf borderId="18" fillId="0" fontId="30" numFmtId="2" xfId="0" applyAlignment="1" applyBorder="1" applyFont="1" applyNumberFormat="1">
      <alignment horizontal="center" vertical="center"/>
    </xf>
    <xf borderId="132" fillId="0" fontId="51" numFmtId="0" xfId="0" applyAlignment="1" applyBorder="1" applyFont="1">
      <alignment horizontal="center" vertical="center"/>
    </xf>
    <xf borderId="53" fillId="0" fontId="3" numFmtId="0" xfId="0" applyAlignment="1" applyBorder="1" applyFont="1">
      <alignment horizontal="left" shrinkToFit="0" vertical="center" wrapText="1"/>
    </xf>
    <xf borderId="20" fillId="0" fontId="30" numFmtId="2" xfId="0" applyAlignment="1" applyBorder="1" applyFont="1" applyNumberFormat="1">
      <alignment horizontal="center" vertical="center"/>
    </xf>
    <xf borderId="133" fillId="0" fontId="51" numFmtId="0" xfId="0" applyAlignment="1" applyBorder="1" applyFont="1">
      <alignment horizontal="center" vertical="center"/>
    </xf>
    <xf borderId="34" fillId="0" fontId="3" numFmtId="0" xfId="0" applyAlignment="1" applyBorder="1" applyFont="1">
      <alignment horizontal="left" shrinkToFit="0" vertical="center" wrapText="1"/>
    </xf>
    <xf borderId="55" fillId="0" fontId="30" numFmtId="2" xfId="0" applyAlignment="1" applyBorder="1" applyFont="1" applyNumberFormat="1">
      <alignment horizontal="center" vertical="center"/>
    </xf>
    <xf borderId="134" fillId="0" fontId="51" numFmtId="0" xfId="0" applyAlignment="1" applyBorder="1" applyFont="1">
      <alignment horizontal="center" vertical="center"/>
    </xf>
    <xf borderId="135" fillId="0" fontId="51" numFmtId="0" xfId="0" applyAlignment="1" applyBorder="1" applyFont="1">
      <alignment horizontal="center" vertical="center"/>
    </xf>
    <xf borderId="27" fillId="0" fontId="3" numFmtId="0" xfId="0" applyAlignment="1" applyBorder="1" applyFont="1">
      <alignment horizontal="left" vertical="center"/>
    </xf>
    <xf borderId="53" fillId="0" fontId="3" numFmtId="0" xfId="0" applyAlignment="1" applyBorder="1" applyFont="1">
      <alignment horizontal="left" vertical="center"/>
    </xf>
    <xf borderId="136" fillId="0" fontId="51" numFmtId="0" xfId="0" applyAlignment="1" applyBorder="1" applyFont="1">
      <alignment horizontal="center" vertical="center"/>
    </xf>
    <xf borderId="34" fillId="0" fontId="3" numFmtId="0" xfId="0" applyAlignment="1" applyBorder="1" applyFont="1">
      <alignment horizontal="left" vertical="center"/>
    </xf>
    <xf borderId="82" fillId="0" fontId="3" numFmtId="0" xfId="0" applyAlignment="1" applyBorder="1" applyFont="1">
      <alignment horizontal="left" vertical="center"/>
    </xf>
    <xf borderId="44" fillId="0" fontId="3" numFmtId="0" xfId="0" applyAlignment="1" applyBorder="1" applyFont="1">
      <alignment horizontal="left" vertical="center"/>
    </xf>
    <xf borderId="46" fillId="0" fontId="3" numFmtId="0" xfId="0" applyAlignment="1" applyBorder="1" applyFont="1">
      <alignment horizontal="left" vertical="center"/>
    </xf>
    <xf borderId="33" fillId="0" fontId="51" numFmtId="0" xfId="0" applyAlignment="1" applyBorder="1" applyFont="1">
      <alignment horizontal="center" vertical="center"/>
    </xf>
    <xf borderId="22" fillId="0" fontId="30" numFmtId="2" xfId="0" applyAlignment="1" applyBorder="1" applyFont="1" applyNumberFormat="1">
      <alignment horizontal="center" vertical="center"/>
    </xf>
    <xf borderId="33" fillId="0" fontId="30" numFmtId="2" xfId="0" applyAlignment="1" applyBorder="1" applyFont="1" applyNumberFormat="1">
      <alignment horizontal="center" vertical="center"/>
    </xf>
    <xf borderId="26" fillId="0" fontId="30" numFmtId="2" xfId="0" applyAlignment="1" applyBorder="1" applyFont="1" applyNumberFormat="1">
      <alignment horizontal="center" vertical="center"/>
    </xf>
    <xf borderId="60" fillId="0" fontId="30" numFmtId="0" xfId="0" applyAlignment="1" applyBorder="1" applyFont="1">
      <alignment horizontal="center" vertical="center"/>
    </xf>
    <xf borderId="26" fillId="0" fontId="30" numFmtId="0" xfId="0" applyAlignment="1" applyBorder="1" applyFont="1">
      <alignment horizontal="center" vertical="center"/>
    </xf>
    <xf borderId="82" fillId="0" fontId="3" numFmtId="0" xfId="0" applyAlignment="1" applyBorder="1" applyFont="1">
      <alignment horizontal="left" shrinkToFit="0" vertical="center" wrapText="1"/>
    </xf>
    <xf borderId="10" fillId="0" fontId="18" numFmtId="0" xfId="0" applyAlignment="1" applyBorder="1" applyFont="1">
      <alignment horizontal="left" shrinkToFit="0" vertical="center" wrapText="1"/>
    </xf>
    <xf borderId="0" fillId="0" fontId="51" numFmtId="0" xfId="0" applyAlignment="1" applyFont="1">
      <alignment horizontal="center" vertical="center"/>
    </xf>
    <xf borderId="6" fillId="0" fontId="3" numFmtId="0" xfId="0" applyAlignment="1" applyBorder="1" applyFont="1">
      <alignment horizontal="left" vertical="center"/>
    </xf>
    <xf borderId="7" fillId="0" fontId="30" numFmtId="2" xfId="0" applyAlignment="1" applyBorder="1" applyFont="1" applyNumberFormat="1">
      <alignment horizontal="center" vertical="center"/>
    </xf>
    <xf borderId="8" fillId="0" fontId="51" numFmtId="0" xfId="0" applyAlignment="1" applyBorder="1" applyFont="1">
      <alignment horizontal="center" vertical="center"/>
    </xf>
    <xf borderId="137" fillId="0" fontId="51" numFmtId="0" xfId="0" applyAlignment="1" applyBorder="1" applyFont="1">
      <alignment horizontal="center" vertical="center"/>
    </xf>
    <xf borderId="22" fillId="0" fontId="30" numFmtId="179" xfId="0" applyAlignment="1" applyBorder="1" applyFont="1" applyNumberFormat="1">
      <alignment horizontal="center" vertical="center"/>
    </xf>
    <xf borderId="53" fillId="0" fontId="28" numFmtId="0" xfId="0" applyAlignment="1" applyBorder="1" applyFont="1">
      <alignment horizontal="left" vertical="center"/>
    </xf>
    <xf borderId="20" fillId="0" fontId="19" numFmtId="179" xfId="0" applyAlignment="1" applyBorder="1" applyFont="1" applyNumberFormat="1">
      <alignment horizontal="center" vertical="center"/>
    </xf>
    <xf borderId="133" fillId="0" fontId="47" numFmtId="0" xfId="0" applyAlignment="1" applyBorder="1" applyFont="1">
      <alignment horizontal="center" vertical="center"/>
    </xf>
    <xf borderId="20" fillId="0" fontId="19" numFmtId="2" xfId="0" applyAlignment="1" applyBorder="1" applyFont="1" applyNumberFormat="1">
      <alignment horizontal="center" vertical="center"/>
    </xf>
    <xf borderId="38" fillId="0" fontId="28" numFmtId="0" xfId="0" applyAlignment="1" applyBorder="1" applyFont="1">
      <alignment horizontal="left" vertical="center"/>
    </xf>
    <xf borderId="39" fillId="0" fontId="19" numFmtId="2" xfId="0" applyAlignment="1" applyBorder="1" applyFont="1" applyNumberFormat="1">
      <alignment horizontal="center" vertical="center"/>
    </xf>
    <xf borderId="136" fillId="0" fontId="47" numFmtId="0" xfId="0" applyAlignment="1" applyBorder="1" applyFont="1">
      <alignment horizontal="center" vertical="center"/>
    </xf>
    <xf borderId="92" fillId="0" fontId="18" numFmtId="0" xfId="0" applyAlignment="1" applyBorder="1" applyFont="1">
      <alignment horizontal="left" shrinkToFit="0" vertical="center" wrapText="1"/>
    </xf>
    <xf borderId="9" fillId="15" fontId="78" numFmtId="0" xfId="0" applyAlignment="1" applyBorder="1" applyFill="1" applyFont="1">
      <alignment horizontal="center" shrinkToFit="0" wrapText="1"/>
    </xf>
    <xf borderId="9" fillId="16" fontId="79" numFmtId="0" xfId="0" applyAlignment="1" applyBorder="1" applyFill="1" applyFont="1">
      <alignment horizontal="center"/>
    </xf>
    <xf borderId="138" fillId="0" fontId="3" numFmtId="0" xfId="0" applyAlignment="1" applyBorder="1" applyFont="1">
      <alignment horizontal="center" shrinkToFit="0" wrapText="1"/>
    </xf>
    <xf borderId="113" fillId="15" fontId="3" numFmtId="0" xfId="0" applyAlignment="1" applyBorder="1" applyFont="1">
      <alignment shrinkToFit="0" wrapText="1"/>
    </xf>
    <xf borderId="137" fillId="15" fontId="80" numFmtId="0" xfId="0" applyAlignment="1" applyBorder="1" applyFont="1">
      <alignment horizontal="right" shrinkToFit="0" wrapText="1"/>
    </xf>
    <xf borderId="139" fillId="15" fontId="80" numFmtId="0" xfId="0" applyAlignment="1" applyBorder="1" applyFont="1">
      <alignment horizontal="right" shrinkToFit="0" wrapText="1"/>
    </xf>
    <xf borderId="138" fillId="0" fontId="80" numFmtId="0" xfId="0" applyAlignment="1" applyBorder="1" applyFont="1">
      <alignment horizontal="right" shrinkToFit="0" wrapText="1"/>
    </xf>
    <xf borderId="139" fillId="4" fontId="80" numFmtId="0" xfId="0" applyAlignment="1" applyBorder="1" applyFont="1">
      <alignment horizontal="right" shrinkToFit="0" wrapText="1"/>
    </xf>
    <xf borderId="5" fillId="0" fontId="28" numFmtId="0" xfId="0" applyAlignment="1" applyBorder="1" applyFont="1">
      <alignment horizontal="right" shrinkToFit="0" vertical="center" wrapText="1"/>
    </xf>
    <xf borderId="5" fillId="0" fontId="19" numFmtId="0" xfId="0" applyAlignment="1" applyBorder="1" applyFont="1">
      <alignment horizontal="right" shrinkToFit="0" vertical="center" wrapText="1"/>
    </xf>
    <xf borderId="0" fillId="0" fontId="3" numFmtId="0" xfId="0" applyAlignment="1" applyFont="1">
      <alignment horizontal="center"/>
    </xf>
    <xf borderId="140" fillId="0" fontId="3" numFmtId="0" xfId="0" applyAlignment="1" applyBorder="1" applyFont="1">
      <alignment horizontal="center" shrinkToFit="0" wrapText="1"/>
    </xf>
    <xf borderId="116" fillId="15" fontId="3" numFmtId="0" xfId="0" applyAlignment="1" applyBorder="1" applyFont="1">
      <alignment shrinkToFit="0" wrapText="1"/>
    </xf>
    <xf borderId="141" fillId="15" fontId="80" numFmtId="0" xfId="0" applyAlignment="1" applyBorder="1" applyFont="1">
      <alignment horizontal="right" shrinkToFit="0" wrapText="1"/>
    </xf>
    <xf borderId="138" fillId="0" fontId="3" numFmtId="0" xfId="0" applyAlignment="1" applyBorder="1" applyFont="1">
      <alignment horizontal="center"/>
    </xf>
    <xf borderId="142" fillId="15" fontId="3" numFmtId="0" xfId="0" applyAlignment="1" applyBorder="1" applyFont="1">
      <alignment shrinkToFit="0" wrapText="1"/>
    </xf>
    <xf borderId="142" fillId="15" fontId="80" numFmtId="0" xfId="0" applyAlignment="1" applyBorder="1" applyFont="1">
      <alignment horizontal="right" shrinkToFit="0" wrapText="1"/>
    </xf>
    <xf borderId="5" fillId="0" fontId="80" numFmtId="0" xfId="0" applyAlignment="1" applyBorder="1" applyFont="1">
      <alignment horizontal="right" shrinkToFit="0" wrapText="1"/>
    </xf>
    <xf borderId="140" fillId="0" fontId="3" numFmtId="0" xfId="0" applyAlignment="1" applyBorder="1" applyFont="1">
      <alignment horizontal="center"/>
    </xf>
    <xf borderId="117" fillId="15" fontId="3" numFmtId="0" xfId="0" applyAlignment="1" applyBorder="1" applyFont="1">
      <alignment shrinkToFit="0" wrapText="1"/>
    </xf>
    <xf borderId="117" fillId="15" fontId="80" numFmtId="0" xfId="0" applyAlignment="1" applyBorder="1" applyFont="1">
      <alignment horizontal="right" shrinkToFit="0" wrapText="1"/>
    </xf>
    <xf borderId="4" fillId="0" fontId="3" numFmtId="0" xfId="0" applyAlignment="1" applyBorder="1" applyFont="1">
      <alignment horizontal="center"/>
    </xf>
    <xf borderId="138" fillId="0" fontId="3" numFmtId="0" xfId="0" applyAlignment="1" applyBorder="1" applyFont="1">
      <alignment shrinkToFit="0" wrapText="1"/>
    </xf>
    <xf borderId="6" fillId="0" fontId="3" numFmtId="0" xfId="0" applyAlignment="1" applyBorder="1" applyFont="1">
      <alignment horizontal="center"/>
    </xf>
    <xf borderId="140" fillId="0" fontId="3" numFmtId="0" xfId="0" applyAlignment="1" applyBorder="1" applyFont="1">
      <alignment shrinkToFit="0" wrapText="1"/>
    </xf>
    <xf borderId="8" fillId="0" fontId="80" numFmtId="0" xfId="0" applyAlignment="1" applyBorder="1" applyFont="1">
      <alignment horizontal="right" shrinkToFit="0" wrapText="1"/>
    </xf>
    <xf borderId="11" fillId="0" fontId="18" numFmtId="0" xfId="0" applyAlignment="1" applyBorder="1" applyFont="1">
      <alignment shrinkToFit="0" vertical="top" wrapText="1"/>
    </xf>
    <xf borderId="6" fillId="0" fontId="67" numFmtId="0" xfId="0" applyAlignment="1" applyBorder="1" applyFont="1">
      <alignment vertical="center"/>
    </xf>
    <xf borderId="4" fillId="0" fontId="18" numFmtId="0" xfId="0" applyAlignment="1" applyBorder="1" applyFont="1">
      <alignment horizontal="center" vertical="center"/>
    </xf>
    <xf borderId="56" fillId="0" fontId="10" numFmtId="0" xfId="0" applyBorder="1" applyFont="1"/>
    <xf borderId="30" fillId="12" fontId="67" numFmtId="0" xfId="0" applyAlignment="1" applyBorder="1" applyFont="1">
      <alignment horizontal="center" vertical="center"/>
    </xf>
    <xf borderId="143" fillId="12" fontId="67" numFmtId="0" xfId="0" applyAlignment="1" applyBorder="1" applyFont="1">
      <alignment horizontal="center" vertical="center"/>
    </xf>
    <xf borderId="4" fillId="0" fontId="10" numFmtId="0" xfId="0" applyBorder="1" applyFont="1"/>
    <xf borderId="85" fillId="0" fontId="18" numFmtId="0" xfId="0" applyAlignment="1" applyBorder="1" applyFont="1">
      <alignment horizontal="left" shrinkToFit="0" vertical="center" wrapText="1"/>
    </xf>
    <xf borderId="46" fillId="12" fontId="67" numFmtId="0" xfId="0" applyAlignment="1" applyBorder="1" applyFont="1">
      <alignment horizontal="right" vertical="center"/>
    </xf>
    <xf borderId="25" fillId="12" fontId="67" numFmtId="169" xfId="0" applyAlignment="1" applyBorder="1" applyFont="1" applyNumberFormat="1">
      <alignment horizontal="center" shrinkToFit="0" vertical="center" wrapText="1"/>
    </xf>
    <xf borderId="55" fillId="12" fontId="18" numFmtId="0" xfId="0" applyAlignment="1" applyBorder="1" applyFont="1">
      <alignment horizontal="center" shrinkToFit="0" vertical="center" wrapText="1"/>
    </xf>
    <xf borderId="53" fillId="12" fontId="67" numFmtId="0" xfId="0" applyAlignment="1" applyBorder="1" applyFont="1">
      <alignment horizontal="center" shrinkToFit="0" vertical="center" wrapText="1"/>
    </xf>
    <xf borderId="30" fillId="12" fontId="67" numFmtId="0" xfId="0" applyAlignment="1" applyBorder="1" applyFont="1">
      <alignment horizontal="center" shrinkToFit="0" vertical="center" wrapText="1"/>
    </xf>
    <xf borderId="57" fillId="12" fontId="67" numFmtId="0" xfId="0" applyAlignment="1" applyBorder="1" applyFont="1">
      <alignment horizontal="center" shrinkToFit="0" vertical="center" wrapText="1"/>
    </xf>
    <xf borderId="20" fillId="12" fontId="67" numFmtId="0" xfId="0" applyAlignment="1" applyBorder="1" applyFont="1">
      <alignment horizontal="center" shrinkToFit="0" vertical="center" wrapText="1"/>
    </xf>
    <xf quotePrefix="1" borderId="46" fillId="12" fontId="67" numFmtId="169" xfId="0" applyAlignment="1" applyBorder="1" applyFont="1" applyNumberFormat="1">
      <alignment horizontal="right" shrinkToFit="0" vertical="center" wrapText="1"/>
    </xf>
    <xf borderId="116" fillId="12" fontId="18" numFmtId="2" xfId="0" applyAlignment="1" applyBorder="1" applyFont="1" applyNumberFormat="1">
      <alignment horizontal="center" shrinkToFit="0" vertical="center" wrapText="1"/>
    </xf>
    <xf borderId="117" fillId="12" fontId="18" numFmtId="2" xfId="0" applyAlignment="1" applyBorder="1" applyFont="1" applyNumberFormat="1">
      <alignment horizontal="center" shrinkToFit="0" vertical="center" wrapText="1"/>
    </xf>
    <xf borderId="79" fillId="12" fontId="67" numFmtId="0" xfId="0" applyAlignment="1" applyBorder="1" applyFont="1">
      <alignment horizontal="center" shrinkToFit="0" vertical="center" wrapText="1"/>
    </xf>
    <xf borderId="119" fillId="12" fontId="67" numFmtId="0" xfId="0" applyAlignment="1" applyBorder="1" applyFont="1">
      <alignment horizontal="center" shrinkToFit="0" vertical="center" wrapText="1"/>
    </xf>
    <xf borderId="58" fillId="12" fontId="67" numFmtId="0" xfId="0" applyAlignment="1" applyBorder="1" applyFont="1">
      <alignment horizontal="center" shrinkToFit="0" vertical="center" wrapText="1"/>
    </xf>
    <xf borderId="125" fillId="12" fontId="18" numFmtId="0" xfId="0" applyAlignment="1" applyBorder="1" applyFont="1">
      <alignment shrinkToFit="0" vertical="center" wrapText="1"/>
    </xf>
    <xf borderId="116" fillId="12" fontId="67" numFmtId="0" xfId="0" applyAlignment="1" applyBorder="1" applyFont="1">
      <alignment horizontal="center" vertical="center"/>
    </xf>
    <xf quotePrefix="1" borderId="116" fillId="12" fontId="67" numFmtId="169" xfId="0" applyAlignment="1" applyBorder="1" applyFont="1" applyNumberFormat="1">
      <alignment horizontal="center" shrinkToFit="0" vertical="center" wrapText="1"/>
    </xf>
    <xf borderId="126" fillId="12" fontId="18" numFmtId="169" xfId="0" applyAlignment="1" applyBorder="1" applyFont="1" applyNumberFormat="1">
      <alignment shrinkToFit="0" vertical="center" wrapText="1"/>
    </xf>
    <xf borderId="108" fillId="12" fontId="18" numFmtId="169" xfId="0" applyAlignment="1" applyBorder="1" applyFont="1" applyNumberFormat="1">
      <alignment shrinkToFit="0" vertical="center" wrapText="1"/>
    </xf>
    <xf borderId="127" fillId="12" fontId="18" numFmtId="169" xfId="0" applyAlignment="1" applyBorder="1" applyFont="1" applyNumberFormat="1">
      <alignment shrinkToFit="0" vertical="center" wrapText="1"/>
    </xf>
    <xf borderId="0" fillId="0" fontId="18" numFmtId="0" xfId="0" applyAlignment="1" applyFont="1">
      <alignment horizontal="center" vertical="center"/>
    </xf>
    <xf borderId="144" fillId="12" fontId="18" numFmtId="0" xfId="0" applyAlignment="1" applyBorder="1" applyFont="1">
      <alignment shrinkToFit="0" vertical="center" wrapText="1"/>
    </xf>
    <xf borderId="113" fillId="12" fontId="67" numFmtId="0" xfId="0" applyAlignment="1" applyBorder="1" applyFont="1">
      <alignment horizontal="center" vertical="center"/>
    </xf>
    <xf quotePrefix="1" borderId="113" fillId="12" fontId="67" numFmtId="169" xfId="0" applyAlignment="1" applyBorder="1" applyFont="1" applyNumberFormat="1">
      <alignment horizontal="center" shrinkToFit="0" vertical="center" wrapText="1"/>
    </xf>
    <xf borderId="63" fillId="12" fontId="67" numFmtId="169" xfId="0" applyAlignment="1" applyBorder="1" applyFont="1" applyNumberFormat="1">
      <alignment horizontal="center" shrinkToFit="0" vertical="center" wrapText="1"/>
    </xf>
    <xf borderId="145" fillId="12" fontId="18" numFmtId="169" xfId="0" applyAlignment="1" applyBorder="1" applyFont="1" applyNumberFormat="1">
      <alignment shrinkToFit="0" vertical="center" wrapText="1"/>
    </xf>
    <xf borderId="109" fillId="12" fontId="18" numFmtId="169" xfId="0" applyAlignment="1" applyBorder="1" applyFont="1" applyNumberFormat="1">
      <alignment shrinkToFit="0" vertical="center" wrapText="1"/>
    </xf>
    <xf borderId="146" fillId="12" fontId="18" numFmtId="169" xfId="0" applyAlignment="1" applyBorder="1" applyFont="1" applyNumberFormat="1">
      <alignment shrinkToFit="0" vertical="center" wrapText="1"/>
    </xf>
    <xf borderId="1" fillId="0" fontId="18" numFmtId="0" xfId="0" applyAlignment="1" applyBorder="1" applyFont="1">
      <alignment shrinkToFit="0" vertical="center" wrapText="1"/>
    </xf>
    <xf borderId="2" fillId="0" fontId="67" numFmtId="0" xfId="0" applyAlignment="1" applyBorder="1" applyFont="1">
      <alignment horizontal="center" vertical="center"/>
    </xf>
    <xf borderId="2" fillId="0" fontId="67" numFmtId="169" xfId="0" applyAlignment="1" applyBorder="1" applyFont="1" applyNumberFormat="1">
      <alignment horizontal="center" shrinkToFit="0" vertical="center" wrapText="1"/>
    </xf>
    <xf borderId="2" fillId="0" fontId="67" numFmtId="169" xfId="0" applyAlignment="1" applyBorder="1" applyFont="1" applyNumberFormat="1">
      <alignment horizontal="right" shrinkToFit="0" vertical="center" wrapText="1"/>
    </xf>
    <xf borderId="2" fillId="0" fontId="18" numFmtId="169" xfId="0" applyAlignment="1" applyBorder="1" applyFont="1" applyNumberFormat="1">
      <alignment horizontal="center" shrinkToFit="0" vertical="center" wrapText="1"/>
    </xf>
    <xf borderId="3" fillId="0" fontId="18" numFmtId="169" xfId="0" applyAlignment="1" applyBorder="1" applyFont="1" applyNumberFormat="1">
      <alignment horizontal="center" shrinkToFit="0" vertical="center" wrapText="1"/>
    </xf>
    <xf borderId="4" fillId="0" fontId="18" numFmtId="0" xfId="0" applyAlignment="1" applyBorder="1" applyFont="1">
      <alignment shrinkToFit="0" vertical="center" wrapText="1"/>
    </xf>
    <xf borderId="0" fillId="0" fontId="18" numFmtId="169" xfId="0" applyAlignment="1" applyFont="1" applyNumberFormat="1">
      <alignment horizontal="center" shrinkToFit="0" vertical="center" wrapText="1"/>
    </xf>
    <xf borderId="5" fillId="0" fontId="18" numFmtId="169" xfId="0" applyAlignment="1" applyBorder="1" applyFont="1" applyNumberFormat="1">
      <alignment horizontal="center" shrinkToFit="0" vertical="center" wrapText="1"/>
    </xf>
    <xf borderId="4" fillId="0" fontId="81" numFmtId="0" xfId="0" applyAlignment="1" applyBorder="1" applyFont="1">
      <alignment vertical="center"/>
    </xf>
    <xf borderId="0" fillId="0" fontId="81" numFmtId="0" xfId="0" applyAlignment="1" applyFont="1">
      <alignment vertical="center"/>
    </xf>
    <xf borderId="5" fillId="0" fontId="81" numFmtId="0" xfId="0" applyAlignment="1" applyBorder="1" applyFont="1">
      <alignment vertical="center"/>
    </xf>
    <xf borderId="147" fillId="12" fontId="67" numFmtId="0" xfId="0" applyAlignment="1" applyBorder="1" applyFont="1">
      <alignment horizontal="center" shrinkToFit="0" vertical="center" wrapText="1"/>
    </xf>
    <xf borderId="22" fillId="12" fontId="67" numFmtId="0" xfId="0" applyAlignment="1" applyBorder="1" applyFont="1">
      <alignment horizontal="center" shrinkToFit="0" vertical="center" wrapText="1"/>
    </xf>
    <xf borderId="44" fillId="12" fontId="67" numFmtId="0" xfId="0" applyAlignment="1" applyBorder="1" applyFont="1">
      <alignment horizontal="left" shrinkToFit="0" vertical="center" wrapText="1"/>
    </xf>
    <xf borderId="53" fillId="0" fontId="18" numFmtId="169" xfId="0" applyAlignment="1" applyBorder="1" applyFont="1" applyNumberFormat="1">
      <alignment horizontal="center" shrinkToFit="0" vertical="center" wrapText="1"/>
    </xf>
    <xf quotePrefix="1" borderId="30" fillId="0" fontId="18" numFmtId="169" xfId="0" applyAlignment="1" applyBorder="1" applyFont="1" applyNumberFormat="1">
      <alignment horizontal="center" shrinkToFit="0" vertical="center" wrapText="1"/>
    </xf>
    <xf borderId="22" fillId="0" fontId="67" numFmtId="169" xfId="0" applyAlignment="1" applyBorder="1" applyFont="1" applyNumberFormat="1">
      <alignment horizontal="center" shrinkToFit="0" vertical="center" wrapText="1"/>
    </xf>
    <xf borderId="22" fillId="0" fontId="18" numFmtId="169" xfId="0" applyAlignment="1" applyBorder="1" applyFont="1" applyNumberFormat="1">
      <alignment horizontal="center" shrinkToFit="0" vertical="center" wrapText="1"/>
    </xf>
    <xf borderId="85" fillId="0" fontId="18" numFmtId="169" xfId="0" applyAlignment="1" applyBorder="1" applyFont="1" applyNumberFormat="1">
      <alignment horizontal="center" shrinkToFit="0" vertical="center" wrapText="1"/>
    </xf>
    <xf borderId="44" fillId="12" fontId="67" numFmtId="0" xfId="0" applyAlignment="1" applyBorder="1" applyFont="1">
      <alignment horizontal="center" shrinkToFit="0" vertical="center" wrapText="1"/>
    </xf>
    <xf borderId="72" fillId="0" fontId="18" numFmtId="0" xfId="0" applyAlignment="1" applyBorder="1" applyFont="1">
      <alignment horizontal="center" shrinkToFit="0" vertical="center" wrapText="1"/>
    </xf>
    <xf borderId="20" fillId="0" fontId="67" numFmtId="0" xfId="0" applyAlignment="1" applyBorder="1" applyFont="1">
      <alignment horizontal="right" shrinkToFit="0" vertical="center" wrapText="1"/>
    </xf>
    <xf borderId="20" fillId="12" fontId="67" numFmtId="169" xfId="0" applyAlignment="1" applyBorder="1" applyFont="1" applyNumberFormat="1">
      <alignment horizontal="right" shrinkToFit="0" vertical="center" wrapText="1"/>
    </xf>
    <xf borderId="22" fillId="12" fontId="67" numFmtId="169" xfId="0" applyAlignment="1" applyBorder="1" applyFont="1" applyNumberFormat="1">
      <alignment horizontal="right" shrinkToFit="0" vertical="center" wrapText="1"/>
    </xf>
    <xf borderId="22" fillId="0" fontId="67" numFmtId="0" xfId="0" applyAlignment="1" applyBorder="1" applyFont="1">
      <alignment horizontal="right" shrinkToFit="0" vertical="center" wrapText="1"/>
    </xf>
    <xf borderId="22" fillId="0" fontId="67" numFmtId="169" xfId="0" applyAlignment="1" applyBorder="1" applyFont="1" applyNumberFormat="1">
      <alignment horizontal="right" shrinkToFit="0" vertical="center" wrapText="1"/>
    </xf>
    <xf borderId="22" fillId="12" fontId="67" numFmtId="169" xfId="0" applyAlignment="1" applyBorder="1" applyFont="1" applyNumberFormat="1">
      <alignment shrinkToFit="0" vertical="center" wrapText="1"/>
    </xf>
    <xf borderId="46" fillId="12" fontId="67" numFmtId="0" xfId="0" applyAlignment="1" applyBorder="1" applyFont="1">
      <alignment horizontal="center" shrinkToFit="0" vertical="center" wrapText="1"/>
    </xf>
    <xf borderId="55" fillId="12" fontId="67" numFmtId="0" xfId="0" applyAlignment="1" applyBorder="1" applyFont="1">
      <alignment horizontal="right" shrinkToFit="0" vertical="center" wrapText="1"/>
    </xf>
    <xf borderId="26" fillId="12" fontId="67" numFmtId="169" xfId="0" applyAlignment="1" applyBorder="1" applyFont="1" applyNumberFormat="1">
      <alignment horizontal="right" shrinkToFit="0" vertical="center" wrapText="1"/>
    </xf>
    <xf borderId="0" fillId="0" fontId="67" numFmtId="0" xfId="0" applyAlignment="1" applyFont="1">
      <alignment shrinkToFit="0" vertical="center" wrapText="1"/>
    </xf>
    <xf borderId="0" fillId="0" fontId="67" numFmtId="0" xfId="0" applyAlignment="1" applyFont="1">
      <alignment horizontal="right" shrinkToFit="0" vertical="center" wrapText="1"/>
    </xf>
    <xf borderId="38" fillId="0" fontId="18" numFmtId="0" xfId="0" applyAlignment="1" applyBorder="1" applyFont="1">
      <alignment horizontal="center" shrinkToFit="0" vertical="center" wrapText="1"/>
    </xf>
    <xf borderId="59" fillId="0" fontId="18" numFmtId="2" xfId="0" applyAlignment="1" applyBorder="1" applyFont="1" applyNumberFormat="1">
      <alignment horizontal="center" shrinkToFit="0" vertical="center" wrapText="1"/>
    </xf>
    <xf borderId="59" fillId="0" fontId="18" numFmtId="0" xfId="0" applyAlignment="1" applyBorder="1" applyFont="1">
      <alignment horizontal="center" shrinkToFit="0" vertical="center" wrapText="1"/>
    </xf>
    <xf borderId="39" fillId="0" fontId="18" numFmtId="0" xfId="0" applyAlignment="1" applyBorder="1" applyFont="1">
      <alignment horizontal="center" shrinkToFit="0" vertical="center" wrapText="1"/>
    </xf>
    <xf borderId="27" fillId="0" fontId="10" numFmtId="0" xfId="0" applyBorder="1" applyFont="1"/>
    <xf borderId="28" fillId="0" fontId="10" numFmtId="0" xfId="0" applyBorder="1" applyFont="1"/>
    <xf borderId="46" fillId="12" fontId="18" numFmtId="0" xfId="0" applyAlignment="1" applyBorder="1" applyFont="1">
      <alignment horizontal="center" shrinkToFit="0" vertical="center" wrapText="1"/>
    </xf>
    <xf borderId="148" fillId="12" fontId="67" numFmtId="0" xfId="0" applyAlignment="1" applyBorder="1" applyFont="1">
      <alignment horizontal="right" shrinkToFit="0" vertical="center" wrapText="1"/>
    </xf>
    <xf borderId="148" fillId="12" fontId="67" numFmtId="2" xfId="0" applyAlignment="1" applyBorder="1" applyFont="1" applyNumberFormat="1">
      <alignment horizontal="center" shrinkToFit="0" vertical="center" wrapText="1"/>
    </xf>
    <xf borderId="55" fillId="12" fontId="67" numFmtId="169" xfId="0" applyAlignment="1" applyBorder="1" applyFont="1" applyNumberFormat="1">
      <alignment horizontal="center" shrinkToFit="0" vertical="center" wrapText="1"/>
    </xf>
    <xf borderId="6" fillId="0" fontId="18" numFmtId="0" xfId="0" applyAlignment="1" applyBorder="1" applyFont="1">
      <alignment horizontal="center" shrinkToFit="0" vertical="center" wrapText="1"/>
    </xf>
    <xf borderId="7" fillId="0" fontId="18" numFmtId="0" xfId="0" applyAlignment="1" applyBorder="1" applyFont="1">
      <alignment horizontal="center" shrinkToFit="0" vertical="center" wrapText="1"/>
    </xf>
    <xf borderId="7" fillId="0" fontId="67" numFmtId="2" xfId="0" applyAlignment="1" applyBorder="1" applyFont="1" applyNumberFormat="1">
      <alignment horizontal="center" shrinkToFit="0" vertical="center" wrapText="1"/>
    </xf>
    <xf borderId="7" fillId="0" fontId="67" numFmtId="169" xfId="0" applyAlignment="1" applyBorder="1" applyFont="1" applyNumberFormat="1">
      <alignment horizontal="center" shrinkToFit="0" vertical="center" wrapText="1"/>
    </xf>
    <xf borderId="8" fillId="0" fontId="67" numFmtId="169" xfId="0" applyAlignment="1" applyBorder="1" applyFont="1" applyNumberFormat="1">
      <alignment horizontal="center" shrinkToFit="0" vertical="center" wrapText="1"/>
    </xf>
    <xf borderId="30" fillId="0" fontId="18" numFmtId="0" xfId="0" applyAlignment="1" applyBorder="1" applyFont="1">
      <alignment horizontal="center" shrinkToFit="0" vertical="center" wrapText="1"/>
    </xf>
    <xf borderId="39" fillId="0" fontId="18" numFmtId="0" xfId="0" applyAlignment="1" applyBorder="1" applyFont="1">
      <alignment shrinkToFit="0" vertical="center" wrapText="1"/>
    </xf>
    <xf borderId="97" fillId="0" fontId="18" numFmtId="0" xfId="0" applyAlignment="1" applyBorder="1" applyFont="1">
      <alignment shrinkToFit="0" vertical="center" wrapText="1"/>
    </xf>
    <xf borderId="96" fillId="0" fontId="18" numFmtId="0" xfId="0" applyAlignment="1" applyBorder="1" applyFont="1">
      <alignment shrinkToFit="0" vertical="center" wrapText="1"/>
    </xf>
    <xf borderId="123" fillId="0" fontId="18" numFmtId="0" xfId="0" applyAlignment="1" applyBorder="1" applyFont="1">
      <alignment shrinkToFit="0" vertical="center" wrapText="1"/>
    </xf>
    <xf borderId="0" fillId="0" fontId="18" numFmtId="0" xfId="0" applyAlignment="1" applyFont="1">
      <alignment shrinkToFit="0" vertical="center" wrapText="1"/>
    </xf>
    <xf borderId="5" fillId="0" fontId="18" numFmtId="0" xfId="0" applyAlignment="1" applyBorder="1" applyFont="1">
      <alignment shrinkToFit="0" vertical="center" wrapText="1"/>
    </xf>
    <xf borderId="1" fillId="0" fontId="67" numFmtId="0" xfId="0" applyAlignment="1" applyBorder="1" applyFont="1">
      <alignment shrinkToFit="0" vertical="center" wrapText="1"/>
    </xf>
    <xf borderId="2" fillId="0" fontId="67" numFmtId="0" xfId="0" applyAlignment="1" applyBorder="1" applyFont="1">
      <alignment shrinkToFit="0" vertical="center" wrapText="1"/>
    </xf>
    <xf borderId="2" fillId="0" fontId="67" numFmtId="0" xfId="0" applyAlignment="1" applyBorder="1" applyFont="1">
      <alignment horizontal="right" shrinkToFit="0" vertical="center" wrapText="1"/>
    </xf>
    <xf borderId="3" fillId="0" fontId="67" numFmtId="169" xfId="0" applyAlignment="1" applyBorder="1" applyFont="1" applyNumberFormat="1">
      <alignment horizontal="center" shrinkToFit="0" vertical="center" wrapText="1"/>
    </xf>
    <xf borderId="123" fillId="0" fontId="18" numFmtId="0" xfId="0" applyAlignment="1" applyBorder="1" applyFont="1">
      <alignment horizontal="center" shrinkToFit="0" vertical="center" wrapText="1"/>
    </xf>
    <xf borderId="72" fillId="0" fontId="18" numFmtId="2" xfId="0" applyAlignment="1" applyBorder="1" applyFont="1" applyNumberFormat="1">
      <alignment horizontal="center" shrinkToFit="0" vertical="center" wrapText="1"/>
    </xf>
    <xf borderId="46" fillId="0" fontId="18" numFmtId="0" xfId="0" applyAlignment="1" applyBorder="1" applyFont="1">
      <alignment horizontal="center" shrinkToFit="0" vertical="center" wrapText="1"/>
    </xf>
    <xf borderId="55" fillId="0" fontId="18" numFmtId="169" xfId="0" applyAlignment="1" applyBorder="1" applyFont="1" applyNumberFormat="1">
      <alignment horizontal="center" shrinkToFit="0" vertical="center" wrapText="1"/>
    </xf>
    <xf borderId="46" fillId="12" fontId="67" numFmtId="169" xfId="0" applyAlignment="1" applyBorder="1" applyFont="1" applyNumberFormat="1">
      <alignment horizontal="center" shrinkToFit="0" vertical="center" wrapText="1"/>
    </xf>
    <xf borderId="4" fillId="0" fontId="67" numFmtId="169" xfId="0" applyAlignment="1" applyBorder="1" applyFont="1" applyNumberFormat="1">
      <alignment horizontal="center" shrinkToFit="0" vertical="center" wrapText="1"/>
    </xf>
    <xf quotePrefix="1" borderId="72" fillId="0" fontId="18" numFmtId="169" xfId="0" applyAlignment="1" applyBorder="1" applyFont="1" applyNumberFormat="1">
      <alignment horizontal="center" shrinkToFit="0" vertical="center" wrapText="1"/>
    </xf>
    <xf borderId="131" fillId="12" fontId="18" numFmtId="169" xfId="0" applyAlignment="1" applyBorder="1" applyFont="1" applyNumberFormat="1">
      <alignment horizontal="center" shrinkToFit="0" vertical="center" wrapText="1"/>
    </xf>
    <xf borderId="108" fillId="12" fontId="18" numFmtId="169" xfId="0" applyAlignment="1" applyBorder="1" applyFont="1" applyNumberFormat="1">
      <alignment horizontal="center" shrinkToFit="0" vertical="center" wrapText="1"/>
    </xf>
    <xf quotePrefix="1" borderId="108" fillId="12" fontId="67" numFmtId="169" xfId="0" applyAlignment="1" applyBorder="1" applyFont="1" applyNumberFormat="1">
      <alignment horizontal="center" shrinkToFit="0" vertical="center" wrapText="1"/>
    </xf>
    <xf borderId="108" fillId="12" fontId="67" numFmtId="169" xfId="0" applyAlignment="1" applyBorder="1" applyFont="1" applyNumberFormat="1">
      <alignment horizontal="center" shrinkToFit="0" vertical="center" wrapText="1"/>
    </xf>
    <xf borderId="68" fillId="0" fontId="10" numFmtId="0" xfId="0" applyBorder="1" applyFont="1"/>
    <xf borderId="8" fillId="0" fontId="10" numFmtId="0" xfId="0" applyBorder="1" applyFont="1"/>
    <xf borderId="1" fillId="0" fontId="67" numFmtId="0" xfId="0" applyAlignment="1" applyBorder="1" applyFont="1">
      <alignment horizontal="right" shrinkToFit="0" vertical="center" wrapText="1"/>
    </xf>
    <xf borderId="2" fillId="0" fontId="67" numFmtId="0" xfId="0" applyAlignment="1" applyBorder="1" applyFont="1">
      <alignment horizontal="left" vertical="center"/>
    </xf>
    <xf borderId="3" fillId="0" fontId="67" numFmtId="0" xfId="0" applyAlignment="1" applyBorder="1" applyFont="1">
      <alignment horizontal="left" vertical="center"/>
    </xf>
    <xf borderId="0" fillId="0" fontId="18" numFmtId="169" xfId="0" applyAlignment="1" applyFont="1" applyNumberFormat="1">
      <alignment horizontal="left" shrinkToFit="0" vertical="center" wrapText="1"/>
    </xf>
    <xf borderId="0" fillId="0" fontId="41" numFmtId="169" xfId="0" applyAlignment="1" applyFont="1" applyNumberFormat="1">
      <alignment horizontal="left" shrinkToFit="0" vertical="center" wrapText="1"/>
    </xf>
    <xf borderId="126" fillId="12" fontId="18" numFmtId="0" xfId="0" applyAlignment="1" applyBorder="1" applyFont="1">
      <alignment shrinkToFit="0" vertical="center" wrapText="1"/>
    </xf>
    <xf borderId="127" fillId="12" fontId="18" numFmtId="0" xfId="0" applyAlignment="1" applyBorder="1" applyFont="1">
      <alignment shrinkToFit="0" vertical="center" wrapText="1"/>
    </xf>
    <xf borderId="34" fillId="0" fontId="18" numFmtId="2" xfId="0" applyAlignment="1" applyBorder="1" applyFont="1" applyNumberFormat="1">
      <alignment horizontal="center" shrinkToFit="0" vertical="center" wrapText="1"/>
    </xf>
    <xf borderId="25" fillId="0" fontId="18" numFmtId="2" xfId="0" applyAlignment="1" applyBorder="1" applyFont="1" applyNumberFormat="1">
      <alignment horizontal="center" shrinkToFit="0" vertical="center" wrapText="1"/>
    </xf>
    <xf borderId="54" fillId="0" fontId="18" numFmtId="2" xfId="0" applyAlignment="1" applyBorder="1" applyFont="1" applyNumberFormat="1">
      <alignment shrinkToFit="0" vertical="center" wrapText="1"/>
    </xf>
    <xf borderId="47" fillId="0" fontId="18" numFmtId="2" xfId="0" applyAlignment="1" applyBorder="1" applyFont="1" applyNumberFormat="1">
      <alignment horizontal="center" shrinkToFit="0" vertical="center" wrapText="1"/>
    </xf>
    <xf borderId="126" fillId="12" fontId="67" numFmtId="0" xfId="0" applyAlignment="1" applyBorder="1" applyFont="1">
      <alignment shrinkToFit="0" vertical="center" wrapText="1"/>
    </xf>
    <xf borderId="127" fillId="12" fontId="67" numFmtId="0" xfId="0" applyAlignment="1" applyBorder="1" applyFont="1">
      <alignment shrinkToFit="0" vertical="center" wrapText="1"/>
    </xf>
    <xf borderId="21" fillId="0" fontId="18" numFmtId="169" xfId="0" applyAlignment="1" applyBorder="1" applyFont="1" applyNumberFormat="1">
      <alignment horizontal="center" shrinkToFit="0" vertical="center" wrapText="1"/>
    </xf>
    <xf borderId="44" fillId="0" fontId="18" numFmtId="169" xfId="0" applyAlignment="1" applyBorder="1" applyFont="1" applyNumberFormat="1">
      <alignment horizontal="center" shrinkToFit="0" vertical="center" wrapText="1"/>
    </xf>
    <xf quotePrefix="1" borderId="38" fillId="0" fontId="18" numFmtId="169" xfId="0" applyAlignment="1" applyBorder="1" applyFont="1" applyNumberFormat="1">
      <alignment horizontal="center" shrinkToFit="0" vertical="center" wrapText="1"/>
    </xf>
    <xf borderId="67" fillId="0" fontId="18" numFmtId="169" xfId="0" applyAlignment="1" applyBorder="1" applyFont="1" applyNumberFormat="1">
      <alignment horizontal="center" shrinkToFit="0" vertical="center" wrapText="1"/>
    </xf>
    <xf borderId="60" fillId="0" fontId="67" numFmtId="169" xfId="0" applyAlignment="1" applyBorder="1" applyFont="1" applyNumberFormat="1">
      <alignment horizontal="center" shrinkToFit="0" vertical="center" wrapText="1"/>
    </xf>
    <xf borderId="72" fillId="0" fontId="67" numFmtId="0" xfId="0" applyAlignment="1" applyBorder="1" applyFont="1">
      <alignment horizontal="center" shrinkToFit="0" vertical="center" wrapText="1"/>
    </xf>
    <xf borderId="22" fillId="12" fontId="67" numFmtId="169" xfId="0" applyAlignment="1" applyBorder="1" applyFont="1" applyNumberFormat="1">
      <alignment horizontal="center" shrinkToFit="0" vertical="center" wrapText="1"/>
    </xf>
    <xf borderId="22" fillId="0" fontId="67" numFmtId="0" xfId="0" applyAlignment="1" applyBorder="1" applyFont="1">
      <alignment shrinkToFit="0" vertical="center" wrapText="1"/>
    </xf>
    <xf borderId="46" fillId="12" fontId="67" numFmtId="169" xfId="0" applyAlignment="1" applyBorder="1" applyFont="1" applyNumberFormat="1">
      <alignment horizontal="right" shrinkToFit="0" vertical="center" wrapText="1"/>
    </xf>
    <xf borderId="26" fillId="12" fontId="67" numFmtId="169" xfId="0" applyAlignment="1" applyBorder="1" applyFont="1" applyNumberFormat="1">
      <alignment horizontal="center" shrinkToFit="0" vertical="center" wrapText="1"/>
    </xf>
    <xf borderId="91" fillId="10" fontId="67" numFmtId="0" xfId="0" applyAlignment="1" applyBorder="1" applyFont="1">
      <alignment horizontal="right" shrinkToFit="0" vertical="center" wrapText="1"/>
    </xf>
    <xf borderId="147" fillId="2" fontId="18" numFmtId="0" xfId="0" applyAlignment="1" applyBorder="1" applyFont="1">
      <alignment horizontal="center" shrinkToFit="0" vertical="center" wrapText="1"/>
    </xf>
    <xf borderId="40" fillId="2" fontId="18" numFmtId="2" xfId="0" applyAlignment="1" applyBorder="1" applyFont="1" applyNumberFormat="1">
      <alignment horizontal="center" shrinkToFit="0" vertical="center" wrapText="1"/>
    </xf>
    <xf quotePrefix="1" borderId="53" fillId="2" fontId="18" numFmtId="169" xfId="0" applyAlignment="1" applyBorder="1" applyFont="1" applyNumberFormat="1">
      <alignment horizontal="center" shrinkToFit="0" vertical="center" wrapText="1"/>
    </xf>
    <xf borderId="30" fillId="2" fontId="18" numFmtId="169" xfId="0" applyAlignment="1" applyBorder="1" applyFont="1" applyNumberFormat="1">
      <alignment horizontal="center" shrinkToFit="0" vertical="center" wrapText="1"/>
    </xf>
    <xf borderId="22" fillId="2" fontId="67" numFmtId="169" xfId="0" applyAlignment="1" applyBorder="1" applyFont="1" applyNumberFormat="1">
      <alignment horizontal="center" shrinkToFit="0" vertical="center" wrapText="1"/>
    </xf>
    <xf borderId="57" fillId="2" fontId="18" numFmtId="169" xfId="0" applyAlignment="1" applyBorder="1" applyFont="1" applyNumberFormat="1">
      <alignment horizontal="center" shrinkToFit="0" vertical="center" wrapText="1"/>
    </xf>
    <xf quotePrefix="1" borderId="30" fillId="2" fontId="18" numFmtId="169" xfId="0" applyAlignment="1" applyBorder="1" applyFont="1" applyNumberFormat="1">
      <alignment horizontal="center" shrinkToFit="0" vertical="center" wrapText="1"/>
    </xf>
    <xf borderId="44" fillId="2" fontId="18" numFmtId="169" xfId="0" applyAlignment="1" applyBorder="1" applyFont="1" applyNumberFormat="1">
      <alignment horizontal="center" shrinkToFit="0" vertical="center" wrapText="1"/>
    </xf>
    <xf quotePrefix="1" borderId="115" fillId="2" fontId="18" numFmtId="169" xfId="0" applyAlignment="1" applyBorder="1" applyFont="1" applyNumberFormat="1">
      <alignment horizontal="center" shrinkToFit="0" vertical="center" wrapText="1"/>
    </xf>
    <xf borderId="149" fillId="2" fontId="18" numFmtId="169" xfId="0" applyAlignment="1" applyBorder="1" applyFont="1" applyNumberFormat="1">
      <alignment horizontal="center" shrinkToFit="0" vertical="center" wrapText="1"/>
    </xf>
    <xf borderId="63" fillId="2" fontId="18" numFmtId="169" xfId="0" applyAlignment="1" applyBorder="1" applyFont="1" applyNumberFormat="1">
      <alignment horizontal="center" shrinkToFit="0" vertical="center" wrapText="1"/>
    </xf>
    <xf quotePrefix="1" borderId="63" fillId="2" fontId="18" numFmtId="169" xfId="0" applyAlignment="1" applyBorder="1" applyFont="1" applyNumberFormat="1">
      <alignment horizontal="center" shrinkToFit="0" vertical="center" wrapText="1"/>
    </xf>
    <xf borderId="150" fillId="2" fontId="67" numFmtId="169" xfId="0" applyAlignment="1" applyBorder="1" applyFont="1" applyNumberFormat="1">
      <alignment horizontal="center" shrinkToFit="0" vertical="center" wrapText="1"/>
    </xf>
    <xf borderId="151" fillId="2" fontId="18" numFmtId="169" xfId="0" applyAlignment="1" applyBorder="1" applyFont="1" applyNumberFormat="1">
      <alignment horizontal="center" shrinkToFit="0" vertical="center" wrapText="1"/>
    </xf>
    <xf borderId="72" fillId="2" fontId="67" numFmtId="0" xfId="0" applyAlignment="1" applyBorder="1" applyFont="1">
      <alignment horizontal="center" shrinkToFit="0" vertical="center" wrapText="1"/>
    </xf>
    <xf borderId="20" fillId="2" fontId="67" numFmtId="0" xfId="0" applyAlignment="1" applyBorder="1" applyFont="1">
      <alignment horizontal="right" shrinkToFit="0" vertical="center" wrapText="1"/>
    </xf>
    <xf borderId="22" fillId="2" fontId="67" numFmtId="0" xfId="0" applyAlignment="1" applyBorder="1" applyFont="1">
      <alignment shrinkToFit="0" vertical="center" wrapText="1"/>
    </xf>
    <xf borderId="10" fillId="0" fontId="67" numFmtId="0" xfId="0" applyAlignment="1" applyBorder="1" applyFont="1">
      <alignment horizontal="center" shrinkToFit="0" vertical="center" wrapText="1"/>
    </xf>
    <xf borderId="11" fillId="0" fontId="67" numFmtId="0" xfId="0" applyAlignment="1" applyBorder="1" applyFont="1">
      <alignment horizontal="center" shrinkToFit="0" vertical="center" wrapText="1"/>
    </xf>
    <xf borderId="152" fillId="12" fontId="67" numFmtId="169" xfId="0" applyAlignment="1" applyBorder="1" applyFont="1" applyNumberFormat="1">
      <alignment horizontal="right" shrinkToFit="0" vertical="center" wrapText="1"/>
    </xf>
    <xf borderId="109" fillId="12" fontId="67" numFmtId="169" xfId="0" applyAlignment="1" applyBorder="1" applyFont="1" applyNumberFormat="1">
      <alignment horizontal="right" shrinkToFit="0" vertical="center" wrapText="1"/>
    </xf>
    <xf borderId="146" fillId="12" fontId="67" numFmtId="169" xfId="0" applyAlignment="1" applyBorder="1" applyFont="1" applyNumberFormat="1">
      <alignment horizontal="center" shrinkToFit="0" vertical="center" wrapText="1"/>
    </xf>
    <xf borderId="6" fillId="0" fontId="67" numFmtId="0" xfId="0" applyAlignment="1" applyBorder="1" applyFont="1">
      <alignment shrinkToFit="0" vertical="center" wrapText="1"/>
    </xf>
    <xf borderId="7" fillId="0" fontId="67" numFmtId="0" xfId="0" applyAlignment="1" applyBorder="1" applyFont="1">
      <alignment shrinkToFit="0" vertical="center" wrapText="1"/>
    </xf>
    <xf borderId="8" fillId="0" fontId="67" numFmtId="169" xfId="0" applyAlignment="1" applyBorder="1" applyFont="1" applyNumberFormat="1">
      <alignment horizontal="right" shrinkToFit="0" vertical="center" wrapText="1"/>
    </xf>
    <xf borderId="6" fillId="0" fontId="18" numFmtId="169" xfId="0" applyAlignment="1" applyBorder="1" applyFont="1" applyNumberFormat="1">
      <alignment horizontal="center" shrinkToFit="0" vertical="center" wrapText="1"/>
    </xf>
    <xf borderId="7" fillId="0" fontId="18" numFmtId="169" xfId="0" applyAlignment="1" applyBorder="1" applyFont="1" applyNumberFormat="1">
      <alignment horizontal="center" shrinkToFit="0" vertical="center" wrapText="1"/>
    </xf>
    <xf borderId="8" fillId="0" fontId="18" numFmtId="169" xfId="0" applyAlignment="1" applyBorder="1" applyFont="1" applyNumberFormat="1">
      <alignment horizontal="center" shrinkToFit="0" vertical="center" wrapText="1"/>
    </xf>
    <xf borderId="55" fillId="12" fontId="67" numFmtId="0" xfId="0" applyAlignment="1" applyBorder="1" applyFont="1">
      <alignment horizontal="center" shrinkToFit="0" vertical="center" wrapText="1"/>
    </xf>
    <xf borderId="3" fillId="0" fontId="67" numFmtId="0" xfId="0" applyAlignment="1" applyBorder="1" applyFont="1">
      <alignment shrinkToFit="0" vertical="center" wrapText="1"/>
    </xf>
    <xf borderId="5" fillId="0" fontId="67" numFmtId="169" xfId="0" applyAlignment="1" applyBorder="1" applyFont="1" applyNumberFormat="1">
      <alignment horizontal="right" shrinkToFit="0" vertical="center" wrapText="1"/>
    </xf>
    <xf borderId="5" fillId="0" fontId="67" numFmtId="0" xfId="0" applyAlignment="1" applyBorder="1" applyFont="1">
      <alignment horizontal="center" shrinkToFit="0" vertical="center" wrapText="1"/>
    </xf>
    <xf borderId="20" fillId="0" fontId="67" numFmtId="169" xfId="0" applyAlignment="1" applyBorder="1" applyFont="1" applyNumberFormat="1">
      <alignment horizontal="center" shrinkToFit="0" vertical="center" wrapText="1"/>
    </xf>
    <xf borderId="128" fillId="12" fontId="67" numFmtId="169" xfId="0" applyAlignment="1" applyBorder="1" applyFont="1" applyNumberFormat="1">
      <alignment horizontal="center" shrinkToFit="0" vertical="center" wrapText="1"/>
    </xf>
    <xf borderId="39" fillId="0" fontId="21" numFmtId="0" xfId="0" applyAlignment="1" applyBorder="1" applyFont="1">
      <alignment horizontal="center" shrinkToFit="0" vertical="center" wrapText="1"/>
    </xf>
    <xf borderId="40" fillId="12" fontId="67" numFmtId="169" xfId="0" applyAlignment="1" applyBorder="1" applyFont="1" applyNumberFormat="1">
      <alignment horizontal="center" shrinkToFit="0" vertical="center" wrapText="1"/>
    </xf>
    <xf quotePrefix="1" borderId="109" fillId="12" fontId="67" numFmtId="169" xfId="0" applyAlignment="1" applyBorder="1" applyFont="1" applyNumberFormat="1">
      <alignment horizontal="right" shrinkToFit="0" vertical="center" wrapText="1"/>
    </xf>
    <xf quotePrefix="1" borderId="108" fillId="12" fontId="67" numFmtId="169" xfId="0" applyAlignment="1" applyBorder="1" applyFont="1" applyNumberFormat="1">
      <alignment horizontal="right" shrinkToFit="0" vertical="center" wrapText="1"/>
    </xf>
    <xf borderId="97" fillId="0" fontId="18" numFmtId="2" xfId="0" applyAlignment="1" applyBorder="1" applyFont="1" applyNumberFormat="1">
      <alignment horizontal="center" shrinkToFit="0" vertical="center" wrapText="1"/>
    </xf>
    <xf borderId="96" fillId="0" fontId="18" numFmtId="2" xfId="0" applyAlignment="1" applyBorder="1" applyFont="1" applyNumberFormat="1">
      <alignment horizontal="center" shrinkToFit="0" vertical="center" wrapText="1"/>
    </xf>
    <xf borderId="44" fillId="12" fontId="82" numFmtId="0" xfId="0" applyAlignment="1" applyBorder="1" applyFont="1">
      <alignment horizontal="center" shrinkToFit="0" vertical="center" wrapText="1"/>
    </xf>
    <xf borderId="2" fillId="0" fontId="67" numFmtId="169" xfId="0" applyAlignment="1" applyBorder="1" applyFont="1" applyNumberFormat="1">
      <alignment horizontal="left" shrinkToFit="0" vertical="center" wrapText="1"/>
    </xf>
    <xf borderId="3" fillId="0" fontId="67" numFmtId="169" xfId="0" applyAlignment="1" applyBorder="1" applyFont="1" applyNumberFormat="1">
      <alignment horizontal="left" shrinkToFit="0" vertical="center" wrapText="1"/>
    </xf>
    <xf borderId="4" fillId="0" fontId="18" numFmtId="169" xfId="0" applyAlignment="1" applyBorder="1" applyFont="1" applyNumberFormat="1">
      <alignment horizontal="center" shrinkToFit="0" vertical="center" wrapText="1"/>
    </xf>
    <xf borderId="148" fillId="12" fontId="67" numFmtId="169" xfId="0" applyAlignment="1" applyBorder="1" applyFont="1" applyNumberFormat="1">
      <alignment horizontal="center" shrinkToFit="0" vertical="center" wrapText="1"/>
    </xf>
    <xf borderId="53" fillId="12" fontId="67" numFmtId="0" xfId="0" applyAlignment="1" applyBorder="1" applyFont="1">
      <alignment horizontal="center" vertical="center"/>
    </xf>
    <xf borderId="20" fillId="12" fontId="83" numFmtId="0" xfId="0" applyAlignment="1" applyBorder="1" applyFont="1">
      <alignment horizontal="center" vertical="center"/>
    </xf>
    <xf borderId="53" fillId="0" fontId="18" numFmtId="0" xfId="0" applyAlignment="1" applyBorder="1" applyFont="1">
      <alignment horizontal="center" vertical="center"/>
    </xf>
    <xf quotePrefix="1" borderId="131" fillId="12" fontId="67" numFmtId="0" xfId="0" applyAlignment="1" applyBorder="1" applyFont="1">
      <alignment horizontal="right" shrinkToFit="0" vertical="center" wrapText="1"/>
    </xf>
    <xf borderId="123" fillId="0" fontId="18" numFmtId="0" xfId="0" applyAlignment="1" applyBorder="1" applyFont="1">
      <alignment horizontal="center" vertical="center"/>
    </xf>
    <xf borderId="5" fillId="0" fontId="18" numFmtId="0" xfId="0" applyAlignment="1" applyBorder="1" applyFont="1">
      <alignment horizontal="center" vertical="center"/>
    </xf>
    <xf borderId="53" fillId="0" fontId="18" numFmtId="0" xfId="0" applyAlignment="1" applyBorder="1" applyFont="1">
      <alignment horizontal="left" shrinkToFit="0" vertical="center" wrapText="1"/>
    </xf>
    <xf borderId="123" fillId="0" fontId="18" numFmtId="0" xfId="0" applyAlignment="1" applyBorder="1" applyFont="1">
      <alignment vertical="center"/>
    </xf>
    <xf borderId="20" fillId="12" fontId="67" numFmtId="0" xfId="0" applyAlignment="1" applyBorder="1" applyFont="1">
      <alignment horizontal="center" vertical="center"/>
    </xf>
    <xf borderId="153" fillId="0" fontId="10" numFmtId="0" xfId="0" applyBorder="1" applyFont="1"/>
    <xf borderId="151" fillId="12" fontId="83" numFmtId="0" xfId="0" applyAlignment="1" applyBorder="1" applyFont="1">
      <alignment vertical="center"/>
    </xf>
    <xf borderId="154" fillId="12" fontId="83" numFmtId="0" xfId="0" applyAlignment="1" applyBorder="1" applyFont="1">
      <alignment vertical="center"/>
    </xf>
    <xf borderId="43" fillId="12" fontId="67" numFmtId="0" xfId="0" applyAlignment="1" applyBorder="1" applyFont="1">
      <alignment horizontal="center" vertical="center"/>
    </xf>
    <xf borderId="97" fillId="0" fontId="18" numFmtId="0" xfId="0" applyAlignment="1" applyBorder="1" applyFont="1">
      <alignment vertical="center"/>
    </xf>
    <xf borderId="96" fillId="0" fontId="18" numFmtId="0" xfId="0" applyAlignment="1" applyBorder="1" applyFont="1">
      <alignment vertical="center"/>
    </xf>
    <xf borderId="39" fillId="0" fontId="18" numFmtId="0" xfId="0" applyAlignment="1" applyBorder="1" applyFont="1">
      <alignment vertical="center"/>
    </xf>
    <xf borderId="59" fillId="0" fontId="18" numFmtId="0" xfId="0" applyAlignment="1" applyBorder="1" applyFont="1">
      <alignment horizontal="center" vertical="center"/>
    </xf>
    <xf borderId="2" fillId="0" fontId="18" numFmtId="0" xfId="0" applyAlignment="1" applyBorder="1" applyFont="1">
      <alignment vertical="center"/>
    </xf>
    <xf quotePrefix="1" borderId="34" fillId="12" fontId="67" numFmtId="0" xfId="0" applyAlignment="1" applyBorder="1" applyFont="1">
      <alignment horizontal="right" shrinkToFit="0" vertical="center" wrapText="1"/>
    </xf>
    <xf borderId="1" fillId="0" fontId="18" numFmtId="0" xfId="0" applyAlignment="1" applyBorder="1" applyFont="1">
      <alignment vertical="center"/>
    </xf>
    <xf borderId="3" fillId="0" fontId="18" numFmtId="0" xfId="0" applyAlignment="1" applyBorder="1" applyFont="1">
      <alignment vertical="center"/>
    </xf>
    <xf borderId="43" fillId="12" fontId="67" numFmtId="0" xfId="0" applyAlignment="1" applyBorder="1" applyFont="1">
      <alignment vertical="center"/>
    </xf>
    <xf borderId="151" fillId="12" fontId="67" numFmtId="0" xfId="0" applyAlignment="1" applyBorder="1" applyFont="1">
      <alignment vertical="center"/>
    </xf>
    <xf quotePrefix="1" borderId="53" fillId="12" fontId="67" numFmtId="0" xfId="0" applyAlignment="1" applyBorder="1" applyFont="1">
      <alignment horizontal="right" shrinkToFit="0" vertical="center" wrapText="1"/>
    </xf>
    <xf borderId="30" fillId="12" fontId="67" numFmtId="169" xfId="0" applyAlignment="1" applyBorder="1" applyFont="1" applyNumberFormat="1">
      <alignment horizontal="center" shrinkToFit="0" vertical="center" wrapText="1"/>
    </xf>
    <xf borderId="20" fillId="12" fontId="67" numFmtId="169" xfId="0" applyAlignment="1" applyBorder="1" applyFont="1" applyNumberFormat="1">
      <alignment horizontal="center" shrinkToFit="0" vertical="center" wrapText="1"/>
    </xf>
    <xf borderId="44" fillId="0" fontId="82" numFmtId="2" xfId="0" applyAlignment="1" applyBorder="1" applyFont="1" applyNumberFormat="1">
      <alignment horizontal="center" shrinkToFit="0" vertical="center" wrapText="1"/>
    </xf>
    <xf borderId="126" fillId="12" fontId="67" numFmtId="169" xfId="0" applyAlignment="1" applyBorder="1" applyFont="1" applyNumberFormat="1">
      <alignment horizontal="right" shrinkToFit="0" vertical="center" wrapText="1"/>
    </xf>
    <xf borderId="34" fillId="12" fontId="67" numFmtId="0" xfId="0" applyAlignment="1" applyBorder="1" applyFont="1">
      <alignment horizontal="right" shrinkToFit="0" vertical="center" wrapText="1"/>
    </xf>
    <xf borderId="128" fillId="12" fontId="67" numFmtId="2" xfId="0" applyAlignment="1" applyBorder="1" applyFont="1" applyNumberFormat="1">
      <alignment horizontal="center" shrinkToFit="0" vertical="center" wrapText="1"/>
    </xf>
    <xf borderId="30" fillId="12" fontId="67" numFmtId="0" xfId="0" applyAlignment="1" applyBorder="1" applyFont="1">
      <alignment horizontal="right" vertical="center"/>
    </xf>
    <xf borderId="129" fillId="12" fontId="67" numFmtId="0" xfId="0" applyAlignment="1" applyBorder="1" applyFont="1">
      <alignment horizontal="center" vertical="center"/>
    </xf>
    <xf borderId="25" fillId="12" fontId="67" numFmtId="2" xfId="0" applyAlignment="1" applyBorder="1" applyFont="1" applyNumberFormat="1">
      <alignment vertical="center"/>
    </xf>
    <xf borderId="116" fillId="12" fontId="67" numFmtId="0" xfId="0" applyAlignment="1" applyBorder="1" applyFont="1">
      <alignment vertical="center"/>
    </xf>
    <xf borderId="117" fillId="12" fontId="67" numFmtId="0" xfId="0" applyAlignment="1" applyBorder="1" applyFont="1">
      <alignment vertical="center"/>
    </xf>
    <xf borderId="82" fillId="0" fontId="26" numFmtId="0" xfId="0" applyAlignment="1" applyBorder="1" applyFont="1">
      <alignment horizontal="center" shrinkToFit="0" vertical="center" wrapText="1"/>
    </xf>
    <xf borderId="131" fillId="12" fontId="67" numFmtId="0" xfId="0" applyAlignment="1" applyBorder="1" applyFont="1">
      <alignment horizontal="right" shrinkToFit="0" vertical="center" wrapText="1"/>
    </xf>
    <xf borderId="126" fillId="12" fontId="67" numFmtId="181" xfId="0" applyAlignment="1" applyBorder="1" applyFont="1" applyNumberFormat="1">
      <alignment horizontal="right" shrinkToFit="0" vertical="center" wrapText="1"/>
    </xf>
    <xf borderId="25" fillId="12" fontId="67" numFmtId="169" xfId="0" applyAlignment="1" applyBorder="1" applyFont="1" applyNumberFormat="1">
      <alignment shrinkToFit="0" vertical="center" wrapText="1"/>
    </xf>
    <xf borderId="5" fillId="0" fontId="67" numFmtId="0" xfId="0" applyAlignment="1" applyBorder="1" applyFont="1">
      <alignment horizontal="center" vertical="center"/>
    </xf>
    <xf borderId="39" fillId="0" fontId="67" numFmtId="0" xfId="0" applyAlignment="1" applyBorder="1" applyFont="1">
      <alignment horizontal="center" vertical="center"/>
    </xf>
    <xf borderId="108" fillId="12" fontId="67" numFmtId="0" xfId="0" applyAlignment="1" applyBorder="1" applyFont="1">
      <alignment vertical="center"/>
    </xf>
    <xf borderId="127" fillId="12" fontId="67" numFmtId="0" xfId="0" applyAlignment="1" applyBorder="1" applyFont="1">
      <alignment vertical="center"/>
    </xf>
    <xf borderId="155" fillId="10" fontId="67" numFmtId="0" xfId="0" applyAlignment="1" applyBorder="1" applyFont="1">
      <alignment horizontal="left" vertical="center"/>
    </xf>
    <xf borderId="98" fillId="10" fontId="67" numFmtId="0" xfId="0" applyAlignment="1" applyBorder="1" applyFont="1">
      <alignment horizontal="left" vertical="center"/>
    </xf>
    <xf borderId="114" fillId="10" fontId="67" numFmtId="0" xfId="0" applyAlignment="1" applyBorder="1" applyFont="1">
      <alignment horizontal="left" vertical="center"/>
    </xf>
    <xf borderId="25" fillId="12" fontId="21" numFmtId="169" xfId="0" applyAlignment="1" applyBorder="1" applyFont="1" applyNumberFormat="1">
      <alignment horizontal="right" shrinkToFit="0" vertical="center" wrapText="1"/>
    </xf>
    <xf borderId="0" fillId="0" fontId="84" numFmtId="0" xfId="0" applyAlignment="1" applyFont="1">
      <alignment vertical="center"/>
    </xf>
    <xf quotePrefix="1" borderId="44" fillId="0" fontId="81" numFmtId="169" xfId="0" applyAlignment="1" applyBorder="1" applyFont="1" applyNumberFormat="1">
      <alignment horizontal="center" shrinkToFit="0" vertical="center" wrapText="1"/>
    </xf>
    <xf borderId="30" fillId="0" fontId="81" numFmtId="169" xfId="0" applyAlignment="1" applyBorder="1" applyFont="1" applyNumberFormat="1">
      <alignment horizontal="center" shrinkToFit="0" vertical="center" wrapText="1"/>
    </xf>
    <xf borderId="156" fillId="0" fontId="51" numFmtId="0" xfId="0" applyAlignment="1" applyBorder="1" applyFont="1">
      <alignment horizontal="center" vertical="center"/>
    </xf>
    <xf borderId="1" fillId="0" fontId="85" numFmtId="0" xfId="0" applyAlignment="1" applyBorder="1" applyFont="1">
      <alignment vertical="center"/>
    </xf>
    <xf borderId="2" fillId="0" fontId="24" numFmtId="0" xfId="0" applyAlignment="1" applyBorder="1" applyFont="1">
      <alignment vertical="center"/>
    </xf>
    <xf borderId="2" fillId="0" fontId="85" numFmtId="0" xfId="0" applyAlignment="1" applyBorder="1" applyFont="1">
      <alignment vertical="center"/>
    </xf>
    <xf borderId="3" fillId="0" fontId="24" numFmtId="0" xfId="0" applyAlignment="1" applyBorder="1" applyFont="1">
      <alignment vertical="center"/>
    </xf>
    <xf borderId="4" fillId="0" fontId="85" numFmtId="0" xfId="0" applyAlignment="1" applyBorder="1" applyFont="1">
      <alignment vertical="center"/>
    </xf>
    <xf borderId="0" fillId="0" fontId="24" numFmtId="0" xfId="0" applyAlignment="1" applyFont="1">
      <alignment vertical="center"/>
    </xf>
    <xf borderId="0" fillId="0" fontId="85" numFmtId="0" xfId="0" applyAlignment="1" applyFont="1">
      <alignment vertical="center"/>
    </xf>
    <xf borderId="5" fillId="0" fontId="24" numFmtId="0" xfId="0" applyAlignment="1" applyBorder="1" applyFont="1">
      <alignment vertical="center"/>
    </xf>
    <xf borderId="6" fillId="0" fontId="85" numFmtId="0" xfId="0" applyAlignment="1" applyBorder="1" applyFont="1">
      <alignment vertical="center"/>
    </xf>
    <xf borderId="7" fillId="0" fontId="24" numFmtId="0" xfId="0" applyAlignment="1" applyBorder="1" applyFont="1">
      <alignment vertical="center"/>
    </xf>
    <xf borderId="7" fillId="0" fontId="85" numFmtId="0" xfId="0" applyAlignment="1" applyBorder="1" applyFont="1">
      <alignment vertical="center"/>
    </xf>
    <xf borderId="8" fillId="0" fontId="24" numFmtId="0" xfId="0" applyAlignment="1" applyBorder="1" applyFont="1">
      <alignment vertical="center"/>
    </xf>
    <xf borderId="157" fillId="6" fontId="13" numFmtId="0" xfId="0" applyAlignment="1" applyBorder="1" applyFont="1">
      <alignment horizontal="center" vertical="center"/>
    </xf>
    <xf borderId="158" fillId="0" fontId="10" numFmtId="0" xfId="0" applyBorder="1" applyFont="1"/>
    <xf borderId="31" fillId="0" fontId="51" numFmtId="0" xfId="0" applyAlignment="1" applyBorder="1" applyFont="1">
      <alignment horizontal="left" vertical="center"/>
    </xf>
    <xf borderId="83" fillId="0" fontId="3" numFmtId="0" xfId="0" applyAlignment="1" applyBorder="1" applyFont="1">
      <alignment horizontal="left" vertical="center"/>
    </xf>
    <xf borderId="132" fillId="0" fontId="51" numFmtId="0" xfId="0" applyAlignment="1" applyBorder="1" applyFont="1">
      <alignment horizontal="left" vertical="center"/>
    </xf>
    <xf borderId="32" fillId="0" fontId="51" numFmtId="0" xfId="0" applyAlignment="1" applyBorder="1" applyFont="1">
      <alignment horizontal="left" vertical="center"/>
    </xf>
    <xf borderId="33" fillId="0" fontId="51" numFmtId="0" xfId="0" applyAlignment="1" applyBorder="1" applyFont="1">
      <alignment horizontal="left" vertical="center"/>
    </xf>
    <xf borderId="20" fillId="0" fontId="3" numFmtId="182" xfId="0" applyAlignment="1" applyBorder="1" applyFont="1" applyNumberFormat="1">
      <alignment horizontal="left" vertical="center"/>
    </xf>
    <xf borderId="133" fillId="0" fontId="3" numFmtId="0" xfId="0" applyAlignment="1" applyBorder="1" applyFont="1">
      <alignment horizontal="left" vertical="center"/>
    </xf>
    <xf borderId="30" fillId="0" fontId="3" numFmtId="0" xfId="0" applyAlignment="1" applyBorder="1" applyFont="1">
      <alignment horizontal="left" vertical="center"/>
    </xf>
    <xf borderId="22" fillId="0" fontId="3" numFmtId="179" xfId="0" applyAlignment="1" applyBorder="1" applyFont="1" applyNumberFormat="1">
      <alignment horizontal="left" vertical="center"/>
    </xf>
    <xf borderId="136" fillId="0" fontId="3" numFmtId="0" xfId="0" applyAlignment="1" applyBorder="1" applyFont="1">
      <alignment horizontal="left" vertical="center"/>
    </xf>
    <xf borderId="38" fillId="0" fontId="3" numFmtId="0" xfId="0" applyAlignment="1" applyBorder="1" applyFont="1">
      <alignment horizontal="left" shrinkToFit="0" vertical="center" wrapText="1"/>
    </xf>
    <xf borderId="59" fillId="0" fontId="3" numFmtId="0" xfId="0" applyAlignment="1" applyBorder="1" applyFont="1">
      <alignment horizontal="left" vertical="center"/>
    </xf>
    <xf borderId="60" fillId="0" fontId="3" numFmtId="179" xfId="0" applyAlignment="1" applyBorder="1" applyFont="1" applyNumberFormat="1">
      <alignment horizontal="left" vertical="center"/>
    </xf>
    <xf borderId="156" fillId="0" fontId="10" numFmtId="0" xfId="0" applyBorder="1" applyFont="1"/>
    <xf borderId="29" fillId="0" fontId="10" numFmtId="0" xfId="0" applyBorder="1" applyFont="1"/>
    <xf borderId="123" fillId="0" fontId="3" numFmtId="0" xfId="0" applyAlignment="1" applyBorder="1" applyFont="1">
      <alignment horizontal="left" vertical="center"/>
    </xf>
    <xf borderId="55" fillId="0" fontId="3" numFmtId="182" xfId="0" applyAlignment="1" applyBorder="1" applyFont="1" applyNumberFormat="1">
      <alignment horizontal="left" vertical="center"/>
    </xf>
    <xf borderId="23" fillId="0" fontId="3" numFmtId="0" xfId="0" applyAlignment="1" applyBorder="1" applyFont="1">
      <alignment horizontal="left" vertical="center"/>
    </xf>
    <xf borderId="68" fillId="0" fontId="3" numFmtId="0" xfId="0" applyAlignment="1" applyBorder="1" applyFont="1">
      <alignment horizontal="left" vertical="center"/>
    </xf>
    <xf borderId="134" fillId="0" fontId="3" numFmtId="0" xfId="0" applyAlignment="1" applyBorder="1" applyFont="1">
      <alignment horizontal="left" vertical="center"/>
    </xf>
    <xf borderId="25" fillId="0" fontId="3" numFmtId="0" xfId="0" applyAlignment="1" applyBorder="1" applyFont="1">
      <alignment horizontal="left" vertical="center"/>
    </xf>
    <xf borderId="26" fillId="0" fontId="3" numFmtId="0" xfId="0" applyAlignment="1" applyBorder="1" applyFont="1">
      <alignment horizontal="left" vertical="center"/>
    </xf>
    <xf borderId="0" fillId="0" fontId="3" numFmtId="179" xfId="0" applyFont="1" applyNumberFormat="1"/>
    <xf borderId="9" fillId="6" fontId="5" numFmtId="0" xfId="0" applyAlignment="1" applyBorder="1" applyFont="1">
      <alignment horizontal="center"/>
    </xf>
    <xf borderId="50" fillId="15" fontId="51" numFmtId="0" xfId="0" applyAlignment="1" applyBorder="1" applyFont="1">
      <alignment horizontal="left" vertical="center"/>
    </xf>
    <xf borderId="52" fillId="15" fontId="3" numFmtId="0" xfId="0" applyAlignment="1" applyBorder="1" applyFont="1">
      <alignment horizontal="left" vertical="center"/>
    </xf>
    <xf borderId="135" fillId="15" fontId="51" numFmtId="0" xfId="0" applyAlignment="1" applyBorder="1" applyFont="1">
      <alignment horizontal="left" vertical="center"/>
    </xf>
    <xf borderId="91" fillId="15" fontId="51" numFmtId="0" xfId="0" applyAlignment="1" applyBorder="1" applyFont="1">
      <alignment horizontal="left" vertical="center"/>
    </xf>
    <xf borderId="106" fillId="15" fontId="51" numFmtId="0" xfId="0" applyAlignment="1" applyBorder="1" applyFont="1">
      <alignment horizontal="left" vertical="center"/>
    </xf>
    <xf borderId="94" fillId="15" fontId="51" numFmtId="0" xfId="0" applyAlignment="1" applyBorder="1" applyFont="1">
      <alignment horizontal="left" vertical="center"/>
    </xf>
    <xf borderId="31" fillId="0" fontId="3" numFmtId="0" xfId="0" applyAlignment="1" applyBorder="1" applyFont="1">
      <alignment horizontal="left" vertical="center"/>
    </xf>
    <xf borderId="33" fillId="0" fontId="3" numFmtId="182" xfId="0" applyAlignment="1" applyBorder="1" applyFont="1" applyNumberFormat="1">
      <alignment horizontal="center" vertical="center"/>
    </xf>
    <xf borderId="132" fillId="0" fontId="3" numFmtId="0" xfId="0" applyAlignment="1" applyBorder="1" applyFont="1">
      <alignment horizontal="left" vertical="center"/>
    </xf>
    <xf borderId="82" fillId="0" fontId="3" numFmtId="0" xfId="0" applyAlignment="1" applyBorder="1" applyFont="1">
      <alignment horizontal="center" vertical="center"/>
    </xf>
    <xf borderId="132" fillId="0" fontId="3" numFmtId="179" xfId="0" applyAlignment="1" applyBorder="1" applyFont="1" applyNumberFormat="1">
      <alignment horizontal="right" vertical="center"/>
    </xf>
    <xf borderId="22" fillId="0" fontId="3" numFmtId="182" xfId="0" applyAlignment="1" applyBorder="1" applyFont="1" applyNumberFormat="1">
      <alignment horizontal="center" vertical="center"/>
    </xf>
    <xf borderId="44" fillId="0" fontId="3" numFmtId="0" xfId="0" applyAlignment="1" applyBorder="1" applyFont="1">
      <alignment horizontal="center" vertical="center"/>
    </xf>
    <xf borderId="133" fillId="0" fontId="3" numFmtId="179" xfId="0" applyAlignment="1" applyBorder="1" applyFont="1" applyNumberFormat="1">
      <alignment horizontal="right" vertical="center"/>
    </xf>
    <xf borderId="133" fillId="0" fontId="3" numFmtId="0" xfId="0" applyAlignment="1" applyBorder="1" applyFont="1">
      <alignment horizontal="left" shrinkToFit="0" vertical="center" wrapText="1"/>
    </xf>
    <xf borderId="22" fillId="0" fontId="3" numFmtId="0" xfId="0" applyAlignment="1" applyBorder="1" applyFont="1">
      <alignment horizontal="center" vertical="center"/>
    </xf>
    <xf borderId="22" fillId="0" fontId="3" numFmtId="0" xfId="0" applyAlignment="1" applyBorder="1" applyFont="1">
      <alignment horizontal="left" vertical="center"/>
    </xf>
    <xf borderId="134" fillId="0" fontId="3" numFmtId="0" xfId="0" applyAlignment="1" applyBorder="1" applyFont="1">
      <alignment horizontal="left" shrinkToFit="0" vertical="center" wrapText="1"/>
    </xf>
    <xf borderId="46" fillId="0" fontId="3" numFmtId="0" xfId="0" applyAlignment="1" applyBorder="1" applyFont="1">
      <alignment horizontal="center" vertical="center"/>
    </xf>
    <xf borderId="140" fillId="0" fontId="3" numFmtId="179" xfId="0" applyAlignment="1" applyBorder="1" applyFont="1" applyNumberFormat="1">
      <alignment horizontal="left" vertical="center"/>
    </xf>
    <xf borderId="23" fillId="0" fontId="3" numFmtId="0" xfId="0" applyBorder="1" applyFont="1"/>
    <xf borderId="24" fillId="0" fontId="3" numFmtId="0" xfId="0" applyBorder="1" applyFont="1"/>
    <xf borderId="92" fillId="0" fontId="19" numFmtId="0" xfId="0" applyAlignment="1" applyBorder="1" applyFont="1">
      <alignment horizontal="left" shrinkToFit="0" vertical="center" wrapText="1"/>
    </xf>
    <xf borderId="92" fillId="0" fontId="18" numFmtId="0" xfId="0" applyAlignment="1" applyBorder="1" applyFont="1">
      <alignment horizontal="left" shrinkToFit="0" vertical="top" wrapText="1"/>
    </xf>
    <xf borderId="11" fillId="0" fontId="19" numFmtId="0" xfId="0" applyAlignment="1" applyBorder="1" applyFont="1">
      <alignment vertical="center"/>
    </xf>
    <xf borderId="159" fillId="6" fontId="13" numFmtId="0" xfId="0" applyAlignment="1" applyBorder="1" applyFont="1">
      <alignment horizontal="center" vertical="center"/>
    </xf>
    <xf borderId="160" fillId="0" fontId="10" numFmtId="0" xfId="0" applyBorder="1" applyFont="1"/>
    <xf borderId="61" fillId="4" fontId="13" numFmtId="0" xfId="0" applyAlignment="1" applyBorder="1" applyFont="1">
      <alignment horizontal="center" vertical="center"/>
    </xf>
    <xf borderId="33" fillId="4" fontId="13" numFmtId="0" xfId="0" applyAlignment="1" applyBorder="1" applyFont="1">
      <alignment horizontal="center" vertical="center"/>
    </xf>
    <xf borderId="22" fillId="0" fontId="11" numFmtId="2" xfId="0" applyAlignment="1" applyBorder="1" applyFont="1" applyNumberFormat="1">
      <alignment horizontal="center" vertical="center"/>
    </xf>
    <xf borderId="0" fillId="0" fontId="17" numFmtId="2" xfId="0" applyAlignment="1" applyFont="1" applyNumberFormat="1">
      <alignment horizontal="center" shrinkToFit="0" vertical="center" wrapText="1"/>
    </xf>
    <xf borderId="144" fillId="4" fontId="13" numFmtId="0" xfId="0" applyAlignment="1" applyBorder="1" applyFont="1">
      <alignment horizontal="center" vertical="center"/>
    </xf>
    <xf borderId="142" fillId="4" fontId="13" numFmtId="0" xfId="0" applyAlignment="1" applyBorder="1" applyFont="1">
      <alignment vertical="center"/>
    </xf>
    <xf borderId="0" fillId="0" fontId="17" numFmtId="165" xfId="0" applyAlignment="1" applyFont="1" applyNumberFormat="1">
      <alignment horizontal="center" vertical="center"/>
    </xf>
    <xf borderId="53" fillId="4" fontId="13" numFmtId="0" xfId="0" applyAlignment="1" applyBorder="1" applyFont="1">
      <alignment horizontal="center" vertical="center"/>
    </xf>
    <xf borderId="22" fillId="4" fontId="13" numFmtId="0" xfId="0" applyAlignment="1" applyBorder="1" applyFont="1">
      <alignment vertical="center"/>
    </xf>
    <xf borderId="53" fillId="0" fontId="28" numFmtId="0" xfId="0" applyAlignment="1" applyBorder="1" applyFont="1">
      <alignment horizontal="left" shrinkToFit="0" vertical="center" wrapText="1"/>
    </xf>
    <xf borderId="53" fillId="0" fontId="19" numFmtId="0" xfId="0" applyAlignment="1" applyBorder="1" applyFont="1">
      <alignment horizontal="left" vertical="center"/>
    </xf>
    <xf borderId="22" fillId="0" fontId="17" numFmtId="2" xfId="0" applyAlignment="1" applyBorder="1" applyFont="1" applyNumberFormat="1">
      <alignment horizontal="center" vertical="center"/>
    </xf>
    <xf borderId="53" fillId="15" fontId="11" numFmtId="0" xfId="0" applyAlignment="1" applyBorder="1" applyFont="1">
      <alignment horizontal="left" vertical="center"/>
    </xf>
    <xf borderId="22" fillId="0" fontId="11" numFmtId="0" xfId="0" applyAlignment="1" applyBorder="1" applyFont="1">
      <alignment horizontal="left" vertical="center"/>
    </xf>
    <xf borderId="22" fillId="0" fontId="11" numFmtId="2" xfId="0" applyAlignment="1" applyBorder="1" applyFont="1" applyNumberFormat="1">
      <alignment horizontal="left"/>
    </xf>
    <xf borderId="53" fillId="15" fontId="28" numFmtId="0" xfId="0" applyAlignment="1" applyBorder="1" applyFont="1">
      <alignment horizontal="left" vertical="center"/>
    </xf>
    <xf borderId="22" fillId="0" fontId="11" numFmtId="2" xfId="0" applyAlignment="1" applyBorder="1" applyFont="1" applyNumberFormat="1">
      <alignment horizontal="left" vertical="center"/>
    </xf>
    <xf borderId="22" fillId="0" fontId="11" numFmtId="0" xfId="0" applyAlignment="1" applyBorder="1" applyFont="1">
      <alignment horizontal="center" vertical="center"/>
    </xf>
    <xf borderId="34" fillId="0" fontId="28" numFmtId="0" xfId="0" applyAlignment="1" applyBorder="1" applyFont="1">
      <alignment horizontal="left" vertical="center"/>
    </xf>
    <xf borderId="26" fillId="0" fontId="11" numFmtId="2" xfId="0" applyAlignment="1" applyBorder="1" applyFont="1" applyNumberFormat="1">
      <alignment horizontal="center" vertical="center"/>
    </xf>
    <xf borderId="91" fillId="4" fontId="13" numFmtId="0" xfId="0" applyAlignment="1" applyBorder="1" applyFont="1">
      <alignment horizontal="left" vertical="center"/>
    </xf>
    <xf borderId="94" fillId="4" fontId="11" numFmtId="2" xfId="0" applyAlignment="1" applyBorder="1" applyFont="1" applyNumberFormat="1">
      <alignment horizontal="left"/>
    </xf>
    <xf borderId="27" fillId="0" fontId="28" numFmtId="0" xfId="0" applyAlignment="1" applyBorder="1" applyFont="1">
      <alignment horizontal="left" vertical="center"/>
    </xf>
    <xf borderId="29" fillId="0" fontId="11" numFmtId="2" xfId="0" applyAlignment="1" applyBorder="1" applyFont="1" applyNumberFormat="1">
      <alignment horizontal="center" vertical="center"/>
    </xf>
    <xf borderId="53" fillId="4" fontId="13" numFmtId="0" xfId="0" applyAlignment="1" applyBorder="1" applyFont="1">
      <alignment horizontal="left" vertical="center"/>
    </xf>
    <xf borderId="22" fillId="4" fontId="11" numFmtId="2" xfId="0" applyAlignment="1" applyBorder="1" applyFont="1" applyNumberFormat="1">
      <alignment horizontal="left" vertical="center"/>
    </xf>
    <xf borderId="60" fillId="0" fontId="11" numFmtId="2" xfId="0" applyAlignment="1" applyBorder="1" applyFont="1" applyNumberFormat="1">
      <alignment horizontal="center" vertical="center"/>
    </xf>
    <xf borderId="9" fillId="6" fontId="13" numFmtId="0" xfId="0" applyAlignment="1" applyBorder="1" applyFont="1">
      <alignment horizontal="center" shrinkToFit="0" vertical="center" wrapText="1"/>
    </xf>
    <xf borderId="147" fillId="4" fontId="13" numFmtId="0" xfId="0" applyAlignment="1" applyBorder="1" applyFont="1">
      <alignment shrinkToFit="0" vertical="center" wrapText="1"/>
    </xf>
    <xf borderId="53" fillId="0" fontId="28" numFmtId="0" xfId="0" applyAlignment="1" applyBorder="1" applyFont="1">
      <alignment shrinkToFit="0" vertical="center" wrapText="1"/>
    </xf>
    <xf borderId="22" fillId="0" fontId="11" numFmtId="2" xfId="0" applyAlignment="1" applyBorder="1" applyFont="1" applyNumberFormat="1">
      <alignment horizontal="center" shrinkToFit="0" vertical="center" wrapText="1"/>
    </xf>
    <xf borderId="44" fillId="4" fontId="13" numFmtId="0" xfId="0" applyAlignment="1" applyBorder="1" applyFont="1">
      <alignment shrinkToFit="0" vertical="center" wrapText="1"/>
    </xf>
    <xf borderId="53" fillId="15" fontId="28" numFmtId="0" xfId="0" applyAlignment="1" applyBorder="1" applyFont="1">
      <alignment shrinkToFit="0" vertical="center" wrapText="1"/>
    </xf>
    <xf borderId="22" fillId="0" fontId="11" numFmtId="0" xfId="0" applyAlignment="1" applyBorder="1" applyFont="1">
      <alignment horizontal="center" shrinkToFit="0" vertical="center" wrapText="1"/>
    </xf>
    <xf borderId="53" fillId="0" fontId="28" numFmtId="0" xfId="0" applyAlignment="1" applyBorder="1" applyFont="1">
      <alignment horizontal="center" shrinkToFit="0" vertical="center" wrapText="1"/>
    </xf>
    <xf borderId="34" fillId="0" fontId="28" numFmtId="0" xfId="0" applyAlignment="1" applyBorder="1" applyFont="1">
      <alignment shrinkToFit="0" vertical="center" wrapText="1"/>
    </xf>
    <xf borderId="26" fillId="0" fontId="11" numFmtId="2" xfId="0" applyAlignment="1" applyBorder="1" applyFont="1" applyNumberFormat="1">
      <alignment horizontal="center" shrinkToFit="0" vertical="center" wrapText="1"/>
    </xf>
    <xf borderId="147" fillId="4" fontId="11" numFmtId="0" xfId="0" applyAlignment="1" applyBorder="1" applyFont="1">
      <alignment shrinkToFit="0" vertical="center" wrapText="1"/>
    </xf>
    <xf borderId="53" fillId="15" fontId="11" numFmtId="0" xfId="0" applyAlignment="1" applyBorder="1" applyFont="1">
      <alignment shrinkToFit="0" vertical="center" wrapText="1"/>
    </xf>
    <xf borderId="22" fillId="0" fontId="11" numFmtId="0" xfId="0" applyAlignment="1" applyBorder="1" applyFont="1">
      <alignment horizontal="right" shrinkToFit="0" vertical="center" wrapText="1"/>
    </xf>
    <xf borderId="53" fillId="0" fontId="11" numFmtId="0" xfId="0" applyAlignment="1" applyBorder="1" applyFont="1">
      <alignment shrinkToFit="0" vertical="center" wrapText="1"/>
    </xf>
    <xf borderId="22" fillId="0" fontId="11" numFmtId="2" xfId="0" applyAlignment="1" applyBorder="1" applyFont="1" applyNumberFormat="1">
      <alignment horizontal="right" shrinkToFit="0" vertical="center" wrapText="1"/>
    </xf>
    <xf borderId="22" fillId="0" fontId="11" numFmtId="2" xfId="0" applyAlignment="1" applyBorder="1" applyFont="1" applyNumberFormat="1">
      <alignment shrinkToFit="0" vertical="center" wrapText="1"/>
    </xf>
    <xf borderId="34" fillId="0" fontId="11" numFmtId="0" xfId="0" applyAlignment="1" applyBorder="1" applyFont="1">
      <alignment shrinkToFit="0" vertical="center" wrapText="1"/>
    </xf>
    <xf borderId="26" fillId="0" fontId="11" numFmtId="2" xfId="0" applyAlignment="1" applyBorder="1" applyFont="1" applyNumberFormat="1">
      <alignment horizontal="right" shrinkToFit="0" vertical="center" wrapText="1"/>
    </xf>
    <xf borderId="91" fillId="0" fontId="19" numFmtId="0" xfId="0" applyAlignment="1" applyBorder="1" applyFont="1">
      <alignment shrinkToFit="0" vertical="center" wrapText="1"/>
    </xf>
    <xf borderId="94" fillId="0" fontId="18" numFmtId="0" xfId="0" applyAlignment="1" applyBorder="1" applyFont="1">
      <alignment shrinkToFit="0" vertical="top" wrapText="1"/>
    </xf>
    <xf borderId="0" fillId="0" fontId="18" numFmtId="0" xfId="0" applyAlignment="1" applyFont="1">
      <alignment shrinkToFit="0" vertical="top" wrapText="1"/>
    </xf>
  </cellXfs>
  <cellStyles count="1">
    <cellStyle xfId="0" name="Normal" builtinId="0"/>
  </cellStyles>
  <dxfs count="2">
    <dxf>
      <font>
        <b/>
      </font>
      <fill>
        <patternFill patternType="solid">
          <fgColor rgb="FFC0C0C0"/>
          <bgColor rgb="FFC0C0C0"/>
        </patternFill>
      </fill>
      <border>
        <left style="thin">
          <color rgb="FF000000"/>
        </left>
        <right style="thin">
          <color rgb="FF000000"/>
        </right>
        <top style="thin">
          <color rgb="FF000000"/>
        </top>
        <bottom style="thin">
          <color rgb="FF000000"/>
        </bottom>
      </border>
    </dxf>
    <dxf>
      <font/>
      <fill>
        <patternFill patternType="none"/>
      </fill>
      <border>
        <left style="thin">
          <color rgb="FF000000"/>
        </left>
        <right style="thin">
          <color rgb="FF000000"/>
        </right>
        <top style="thin">
          <color rgb="FF000000"/>
        </top>
        <bottom style="thin">
          <color rgb="FF000000"/>
        </bottom>
      </border>
    </dxf>
  </dxfs>
</styleSheet>
</file>

<file path=xl/_rels/workbook.xml.rels><?xml version="1.0" encoding="UTF-8" standalone="yes"?><Relationships xmlns="http://schemas.openxmlformats.org/package/2006/relationships"><Relationship Id="rId20" Type="http://schemas.openxmlformats.org/officeDocument/2006/relationships/externalLink" Target="externalLinks/externalLink1.xml"/><Relationship Id="rId11" Type="http://schemas.openxmlformats.org/officeDocument/2006/relationships/worksheet" Target="worksheets/sheet8.xml"/><Relationship Id="rId10" Type="http://schemas.openxmlformats.org/officeDocument/2006/relationships/worksheet" Target="worksheets/sheet7.xml"/><Relationship Id="rId21" Type="http://schemas.openxmlformats.org/officeDocument/2006/relationships/externalLink" Target="externalLinks/externalLink2.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4.jpg"/><Relationship Id="rId3" Type="http://schemas.openxmlformats.org/officeDocument/2006/relationships/image" Target="../media/image5.jpg"/><Relationship Id="rId4" Type="http://schemas.openxmlformats.org/officeDocument/2006/relationships/image" Target="../media/image6.jpg"/><Relationship Id="rId9" Type="http://schemas.openxmlformats.org/officeDocument/2006/relationships/image" Target="../media/image11.jpg"/><Relationship Id="rId5" Type="http://schemas.openxmlformats.org/officeDocument/2006/relationships/image" Target="../media/image7.jpg"/><Relationship Id="rId6" Type="http://schemas.openxmlformats.org/officeDocument/2006/relationships/image" Target="../media/image8.jpg"/><Relationship Id="rId7" Type="http://schemas.openxmlformats.org/officeDocument/2006/relationships/image" Target="../media/image9.jpg"/><Relationship Id="rId8" Type="http://schemas.openxmlformats.org/officeDocument/2006/relationships/image" Target="../media/image10.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85725</xdr:colOff>
      <xdr:row>58</xdr:row>
      <xdr:rowOff>9525</xdr:rowOff>
    </xdr:from>
    <xdr:ext cx="866775" cy="17335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1000125</xdr:colOff>
      <xdr:row>82</xdr:row>
      <xdr:rowOff>66675</xdr:rowOff>
    </xdr:from>
    <xdr:ext cx="1162050" cy="2105025"/>
    <xdr:pic>
      <xdr:nvPicPr>
        <xdr:cNvPr id="0" name="image4.jp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514350</xdr:colOff>
      <xdr:row>198</xdr:row>
      <xdr:rowOff>57150</xdr:rowOff>
    </xdr:from>
    <xdr:ext cx="4400550" cy="3771900"/>
    <xdr:pic>
      <xdr:nvPicPr>
        <xdr:cNvPr id="0" name="image5.jpg"/>
        <xdr:cNvPicPr preferRelativeResize="0"/>
      </xdr:nvPicPr>
      <xdr:blipFill>
        <a:blip cstate="print" r:embed="rId3"/>
        <a:stretch>
          <a:fillRect/>
        </a:stretch>
      </xdr:blipFill>
      <xdr:spPr>
        <a:prstGeom prst="rect">
          <a:avLst/>
        </a:prstGeom>
        <a:noFill/>
      </xdr:spPr>
    </xdr:pic>
    <xdr:clientData fLocksWithSheet="0"/>
  </xdr:oneCellAnchor>
  <xdr:oneCellAnchor>
    <xdr:from>
      <xdr:col>0</xdr:col>
      <xdr:colOff>1190625</xdr:colOff>
      <xdr:row>348</xdr:row>
      <xdr:rowOff>19050</xdr:rowOff>
    </xdr:from>
    <xdr:ext cx="1066800" cy="2114550"/>
    <xdr:pic>
      <xdr:nvPicPr>
        <xdr:cNvPr id="0" name="image6.jpg"/>
        <xdr:cNvPicPr preferRelativeResize="0"/>
      </xdr:nvPicPr>
      <xdr:blipFill>
        <a:blip cstate="print" r:embed="rId4"/>
        <a:stretch>
          <a:fillRect/>
        </a:stretch>
      </xdr:blipFill>
      <xdr:spPr>
        <a:prstGeom prst="rect">
          <a:avLst/>
        </a:prstGeom>
        <a:noFill/>
      </xdr:spPr>
    </xdr:pic>
    <xdr:clientData fLocksWithSheet="0"/>
  </xdr:oneCellAnchor>
  <xdr:oneCellAnchor>
    <xdr:from>
      <xdr:col>5</xdr:col>
      <xdr:colOff>38100</xdr:colOff>
      <xdr:row>137</xdr:row>
      <xdr:rowOff>161925</xdr:rowOff>
    </xdr:from>
    <xdr:ext cx="723900" cy="723900"/>
    <xdr:pic>
      <xdr:nvPicPr>
        <xdr:cNvPr id="0" name="image7.jpg"/>
        <xdr:cNvPicPr preferRelativeResize="0"/>
      </xdr:nvPicPr>
      <xdr:blipFill>
        <a:blip cstate="print" r:embed="rId5"/>
        <a:stretch>
          <a:fillRect/>
        </a:stretch>
      </xdr:blipFill>
      <xdr:spPr>
        <a:prstGeom prst="rect">
          <a:avLst/>
        </a:prstGeom>
        <a:noFill/>
      </xdr:spPr>
    </xdr:pic>
    <xdr:clientData fLocksWithSheet="0"/>
  </xdr:oneCellAnchor>
  <xdr:oneCellAnchor>
    <xdr:from>
      <xdr:col>3</xdr:col>
      <xdr:colOff>19050</xdr:colOff>
      <xdr:row>1183</xdr:row>
      <xdr:rowOff>152400</xdr:rowOff>
    </xdr:from>
    <xdr:ext cx="828675" cy="1114425"/>
    <xdr:pic>
      <xdr:nvPicPr>
        <xdr:cNvPr id="0" name="image8.jpg"/>
        <xdr:cNvPicPr preferRelativeResize="0"/>
      </xdr:nvPicPr>
      <xdr:blipFill>
        <a:blip cstate="print" r:embed="rId6"/>
        <a:stretch>
          <a:fillRect/>
        </a:stretch>
      </xdr:blipFill>
      <xdr:spPr>
        <a:prstGeom prst="rect">
          <a:avLst/>
        </a:prstGeom>
        <a:noFill/>
      </xdr:spPr>
    </xdr:pic>
    <xdr:clientData fLocksWithSheet="0"/>
  </xdr:oneCellAnchor>
  <xdr:oneCellAnchor>
    <xdr:from>
      <xdr:col>3</xdr:col>
      <xdr:colOff>19050</xdr:colOff>
      <xdr:row>1183</xdr:row>
      <xdr:rowOff>152400</xdr:rowOff>
    </xdr:from>
    <xdr:ext cx="1133475" cy="1190625"/>
    <xdr:pic>
      <xdr:nvPicPr>
        <xdr:cNvPr id="0" name="image9.jpg"/>
        <xdr:cNvPicPr preferRelativeResize="0"/>
      </xdr:nvPicPr>
      <xdr:blipFill>
        <a:blip cstate="print" r:embed="rId7"/>
        <a:stretch>
          <a:fillRect/>
        </a:stretch>
      </xdr:blipFill>
      <xdr:spPr>
        <a:prstGeom prst="rect">
          <a:avLst/>
        </a:prstGeom>
        <a:noFill/>
      </xdr:spPr>
    </xdr:pic>
    <xdr:clientData fLocksWithSheet="0"/>
  </xdr:oneCellAnchor>
  <xdr:oneCellAnchor>
    <xdr:from>
      <xdr:col>2</xdr:col>
      <xdr:colOff>1038225</xdr:colOff>
      <xdr:row>1170</xdr:row>
      <xdr:rowOff>57150</xdr:rowOff>
    </xdr:from>
    <xdr:ext cx="828675" cy="1114425"/>
    <xdr:pic>
      <xdr:nvPicPr>
        <xdr:cNvPr id="0" name="image10.jpg"/>
        <xdr:cNvPicPr preferRelativeResize="0"/>
      </xdr:nvPicPr>
      <xdr:blipFill>
        <a:blip cstate="print" r:embed="rId8"/>
        <a:stretch>
          <a:fillRect/>
        </a:stretch>
      </xdr:blipFill>
      <xdr:spPr>
        <a:prstGeom prst="rect">
          <a:avLst/>
        </a:prstGeom>
        <a:noFill/>
      </xdr:spPr>
    </xdr:pic>
    <xdr:clientData fLocksWithSheet="0"/>
  </xdr:oneCellAnchor>
  <xdr:oneCellAnchor>
    <xdr:from>
      <xdr:col>2</xdr:col>
      <xdr:colOff>1066800</xdr:colOff>
      <xdr:row>1197</xdr:row>
      <xdr:rowOff>161925</xdr:rowOff>
    </xdr:from>
    <xdr:ext cx="1057275" cy="1000125"/>
    <xdr:pic>
      <xdr:nvPicPr>
        <xdr:cNvPr id="0" name="image11.jpg"/>
        <xdr:cNvPicPr preferRelativeResize="0"/>
      </xdr:nvPicPr>
      <xdr:blipFill>
        <a:blip cstate="print" r:embed="rId9"/>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361950</xdr:colOff>
      <xdr:row>1</xdr:row>
      <xdr:rowOff>9525</xdr:rowOff>
    </xdr:from>
    <xdr:ext cx="847725" cy="7905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1200150</xdr:colOff>
      <xdr:row>24</xdr:row>
      <xdr:rowOff>38100</xdr:rowOff>
    </xdr:from>
    <xdr:ext cx="2886075" cy="3524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ia/Desktop/SINFRA%202020/PLANILHA%20%20ARIPUAN&#195;%20-%20ELIANA%20-%20SET%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UOCM\BRUNO\DUD'S\MEM&#211;RIA%20DE%20QUANTIFICA&#199;&#195;O%20-%20ETE.xlsm"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SUMO"/>
      <sheetName val="PLANILHA ORÇAMENTÁRIA"/>
      <sheetName val="COMP_NÃODESONERADO"/>
      <sheetName val="INSNÃODES"/>
      <sheetName val="BDI"/>
      <sheetName val="CRONOGRAMA FÍSICO-FINANCEIRO"/>
      <sheetName val="COMPOSIÇÃO DE CUSTO UNITÁRIO"/>
      <sheetName val="COTAÇÃO DE PREÇOS"/>
      <sheetName val="L SOCIA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Memória de Dimensionamento"/>
      <sheetName val="Memoria de Quantificação"/>
      <sheetName val="BANCO DE DADOS"/>
      <sheetName val="Folha3"/>
    </sheetNames>
    <sheetDataSet>
      <sheetData sheetId="0"/>
      <sheetData sheetId="1"/>
      <sheetData sheetId="2"/>
      <sheetData sheetId="3"/>
    </sheetDataSet>
  </externalBook>
</externalLink>
</file>

<file path=xl/theme/theme1.xml><?xml version="1.0" encoding="utf-8"?>
<a:theme xmlns:a="http://schemas.openxmlformats.org/drawingml/2006/main" xmlns:r="http://schemas.openxmlformats.org/officeDocument/2006/relationships" name="Tema do Offic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about:blank"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www.lojaeletrica.com.br/" TargetMode="External"/><Relationship Id="rId2" Type="http://schemas.openxmlformats.org/officeDocument/2006/relationships/hyperlink" Target="mailto:vendas@paratec.com.br" TargetMode="External"/><Relationship Id="rId3"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57"/>
    <col customWidth="1" min="2" max="2" width="67.43"/>
    <col customWidth="1" min="3" max="3" width="16.0"/>
    <col customWidth="1" min="4" max="4" width="10.29"/>
    <col customWidth="1" min="5" max="5" width="14.14"/>
    <col customWidth="1" min="6" max="6" width="10.57"/>
    <col customWidth="1" min="7" max="7" width="15.0"/>
    <col customWidth="1" min="8" max="8" width="10.57"/>
    <col customWidth="1" min="9" max="9" width="14.43"/>
    <col customWidth="1" min="10" max="10" width="11.29"/>
    <col customWidth="1" min="11" max="11" width="14.71"/>
    <col customWidth="1" min="12" max="12" width="10.14"/>
    <col customWidth="1" min="13" max="13" width="11.14"/>
  </cols>
  <sheetData>
    <row r="1" ht="18.75" customHeight="1">
      <c r="A1" s="1"/>
      <c r="B1" s="2"/>
      <c r="C1" s="3"/>
      <c r="D1" s="3"/>
      <c r="E1" s="3"/>
      <c r="F1" s="3"/>
      <c r="G1" s="3"/>
      <c r="H1" s="3"/>
      <c r="I1" s="3"/>
      <c r="J1" s="3"/>
      <c r="K1" s="3"/>
      <c r="L1" s="3"/>
      <c r="M1" s="4"/>
    </row>
    <row r="2" ht="18.0" customHeight="1">
      <c r="A2" s="4"/>
      <c r="B2" s="5"/>
      <c r="C2" s="6"/>
      <c r="L2" s="7"/>
      <c r="M2" s="7"/>
    </row>
    <row r="3" ht="18.0" customHeight="1">
      <c r="A3" s="4"/>
      <c r="B3" s="8"/>
      <c r="C3" s="6"/>
      <c r="L3" s="7"/>
      <c r="M3" s="7"/>
    </row>
    <row r="4" ht="20.25" customHeight="1">
      <c r="A4" s="4"/>
      <c r="B4" s="9"/>
      <c r="C4" s="6"/>
      <c r="L4" s="4"/>
      <c r="M4" s="4"/>
    </row>
    <row r="5" ht="18.0" customHeight="1">
      <c r="A5" s="4"/>
      <c r="B5" s="9"/>
      <c r="C5" s="4"/>
      <c r="D5" s="4"/>
      <c r="E5" s="4"/>
      <c r="F5" s="4"/>
      <c r="G5" s="4"/>
      <c r="H5" s="4"/>
      <c r="I5" s="4"/>
      <c r="J5" s="4"/>
      <c r="K5" s="4"/>
      <c r="L5" s="4"/>
      <c r="M5" s="4"/>
    </row>
    <row r="6" ht="14.25" customHeight="1">
      <c r="A6" s="10" t="s">
        <v>0</v>
      </c>
      <c r="B6" s="11" t="str">
        <f>'RESUMO SEM DESONERAÇÃO'!B8:C8</f>
        <v>SEMA-PRO-2022/00145</v>
      </c>
      <c r="C6" s="12"/>
      <c r="D6" s="12"/>
      <c r="E6" s="12"/>
      <c r="F6" s="12"/>
      <c r="G6" s="12"/>
      <c r="H6" s="12"/>
      <c r="I6" s="12"/>
      <c r="J6" s="12"/>
      <c r="K6" s="12"/>
      <c r="L6" s="12"/>
      <c r="M6" s="13"/>
    </row>
    <row r="7" ht="15.75" customHeight="1">
      <c r="A7" s="14" t="str">
        <f>'RESUMO SEM DESONERAÇÃO'!A9</f>
        <v>OBRA:</v>
      </c>
      <c r="B7" s="15" t="str">
        <f>'RESUMO SEM DESONERAÇÃO'!B9</f>
        <v>CONSTRUÇÃO DE DIRETORIA DE UNIDADE DESCONCENTRADA DA SEMA - DUDS</v>
      </c>
      <c r="G7" s="15"/>
      <c r="H7" s="15"/>
      <c r="I7" s="15"/>
      <c r="J7" s="15"/>
      <c r="K7" s="15"/>
      <c r="L7" s="15"/>
      <c r="M7" s="16"/>
    </row>
    <row r="8" ht="15.75" customHeight="1">
      <c r="A8" s="14" t="str">
        <f>'RESUMO SEM DESONERAÇÃO'!A10</f>
        <v>ENDEREÇO:</v>
      </c>
      <c r="B8" s="15" t="str">
        <f>'RESUMO SEM DESONERAÇÃO'!B10</f>
        <v>Rua Erichin, esquina com Rua Circular - Bairro Residencial Arco Íris</v>
      </c>
      <c r="G8" s="15"/>
      <c r="H8" s="15"/>
      <c r="I8" s="15"/>
      <c r="J8" s="15"/>
      <c r="K8" s="15"/>
      <c r="L8" s="17" t="str">
        <f>'RESUMO SEM DESONERAÇÃO'!D11</f>
        <v>BDI:</v>
      </c>
      <c r="M8" s="16" t="str">
        <f>'RESUMO SEM DESONERAÇÃO'!E11</f>
        <v>22.23%</v>
      </c>
    </row>
    <row r="9" ht="14.25" customHeight="1">
      <c r="A9" s="14" t="str">
        <f>'RESUMO SEM DESONERAÇÃO'!A11</f>
        <v>MUNICÍPIO:</v>
      </c>
      <c r="B9" s="15" t="str">
        <f>'RESUMO SEM DESONERAÇÃO'!B11</f>
        <v>CONFRESA - MT</v>
      </c>
      <c r="G9" s="15"/>
      <c r="H9" s="15"/>
      <c r="I9" s="15"/>
      <c r="J9" s="15"/>
      <c r="K9" s="15"/>
      <c r="L9" s="17" t="str">
        <f>'RESUMO SEM DESONERAÇÃO'!D10</f>
        <v>Prazo:</v>
      </c>
      <c r="M9" s="18" t="str">
        <f>'RESUMO SEM DESONERAÇÃO'!E10</f>
        <v>120 dias</v>
      </c>
    </row>
    <row r="10" ht="14.25" customHeight="1">
      <c r="A10" s="19" t="str">
        <f>'RESUMO SEM DESONERAÇÃO'!A12</f>
        <v>ASSUNTO:</v>
      </c>
      <c r="B10" s="20" t="str">
        <f>'RESUMO SEM DESONERAÇÃO'!B12</f>
        <v>CONSTRUÇÃO </v>
      </c>
      <c r="C10" s="21"/>
      <c r="D10" s="21"/>
      <c r="E10" s="21"/>
      <c r="F10" s="21"/>
      <c r="G10" s="20"/>
      <c r="H10" s="20"/>
      <c r="I10" s="20"/>
      <c r="J10" s="20"/>
      <c r="K10" s="20"/>
      <c r="L10" s="20"/>
      <c r="M10" s="22"/>
    </row>
    <row r="11" ht="5.25" customHeight="1">
      <c r="A11" s="23"/>
      <c r="B11" s="24"/>
      <c r="C11" s="24"/>
      <c r="D11" s="24"/>
      <c r="E11" s="24"/>
      <c r="F11" s="25"/>
      <c r="G11" s="25"/>
      <c r="H11" s="25"/>
      <c r="I11" s="25"/>
      <c r="J11" s="25"/>
      <c r="K11" s="25"/>
      <c r="L11" s="25"/>
      <c r="M11" s="26"/>
    </row>
    <row r="12" ht="14.25" customHeight="1">
      <c r="A12" s="27" t="s">
        <v>1</v>
      </c>
      <c r="B12" s="28"/>
      <c r="C12" s="28"/>
      <c r="D12" s="28"/>
      <c r="E12" s="28"/>
      <c r="F12" s="28"/>
      <c r="G12" s="28"/>
      <c r="H12" s="28"/>
      <c r="I12" s="28"/>
      <c r="J12" s="28"/>
      <c r="K12" s="28"/>
      <c r="L12" s="28"/>
      <c r="M12" s="29"/>
    </row>
    <row r="13" ht="14.25" customHeight="1">
      <c r="A13" s="30" t="s">
        <v>2</v>
      </c>
      <c r="B13" s="31" t="s">
        <v>3</v>
      </c>
      <c r="C13" s="32" t="s">
        <v>4</v>
      </c>
      <c r="D13" s="33"/>
      <c r="E13" s="32" t="s">
        <v>5</v>
      </c>
      <c r="F13" s="34"/>
      <c r="G13" s="34"/>
      <c r="H13" s="34"/>
      <c r="I13" s="34"/>
      <c r="J13" s="34"/>
      <c r="K13" s="34"/>
      <c r="L13" s="34"/>
      <c r="M13" s="35"/>
    </row>
    <row r="14" ht="14.25" customHeight="1">
      <c r="A14" s="36"/>
      <c r="B14" s="37"/>
      <c r="C14" s="38"/>
      <c r="D14" s="39"/>
      <c r="E14" s="40" t="s">
        <v>6</v>
      </c>
      <c r="F14" s="41"/>
      <c r="G14" s="40" t="s">
        <v>7</v>
      </c>
      <c r="H14" s="41"/>
      <c r="I14" s="40" t="s">
        <v>8</v>
      </c>
      <c r="J14" s="41"/>
      <c r="K14" s="40" t="s">
        <v>9</v>
      </c>
      <c r="L14" s="41"/>
      <c r="M14" s="42" t="s">
        <v>10</v>
      </c>
    </row>
    <row r="15" ht="14.25" customHeight="1">
      <c r="A15" s="43"/>
      <c r="B15" s="44"/>
      <c r="C15" s="45" t="s">
        <v>11</v>
      </c>
      <c r="D15" s="46" t="s">
        <v>12</v>
      </c>
      <c r="E15" s="47" t="s">
        <v>11</v>
      </c>
      <c r="F15" s="48" t="s">
        <v>12</v>
      </c>
      <c r="G15" s="47" t="s">
        <v>11</v>
      </c>
      <c r="H15" s="48" t="s">
        <v>12</v>
      </c>
      <c r="I15" s="47" t="s">
        <v>11</v>
      </c>
      <c r="J15" s="48" t="s">
        <v>12</v>
      </c>
      <c r="K15" s="47" t="s">
        <v>11</v>
      </c>
      <c r="L15" s="48" t="s">
        <v>12</v>
      </c>
      <c r="M15" s="49" t="s">
        <v>12</v>
      </c>
    </row>
    <row r="16" ht="14.25" customHeight="1">
      <c r="A16" s="50" t="str">
        <f>'RESUMO SEM DESONERAÇÃO'!A16</f>
        <v>001</v>
      </c>
      <c r="B16" s="51" t="str">
        <f>'RESUMO SEM DESONERAÇÃO'!B16:C16</f>
        <v>ADMINISTRAÇÃO LOCAL</v>
      </c>
      <c r="C16" s="52" t="str">
        <f>'RESUMO SEM DESONERAÇÃO'!D16</f>
        <v>80424.39</v>
      </c>
      <c r="D16" s="53" t="str">
        <f t="shared" ref="D16:D37" si="1">100*C16/C$38</f>
        <v>4.55</v>
      </c>
      <c r="E16" s="54" t="str">
        <f t="shared" ref="E16:E37" si="2">F16*C16</f>
        <v>  10,455.17 </v>
      </c>
      <c r="F16" s="55">
        <v>0.13</v>
      </c>
      <c r="G16" s="54" t="str">
        <f t="shared" ref="G16:G37" si="3">H16*C16</f>
        <v>  21,714.59 </v>
      </c>
      <c r="H16" s="55">
        <v>0.27</v>
      </c>
      <c r="I16" s="54" t="str">
        <f t="shared" ref="I16:I37" si="4">J16*C16</f>
        <v>  29,757.02 </v>
      </c>
      <c r="J16" s="55">
        <v>0.37</v>
      </c>
      <c r="K16" s="54" t="str">
        <f t="shared" ref="K16:K37" si="5">L16*C16</f>
        <v>  18,497.61 </v>
      </c>
      <c r="L16" s="55">
        <v>0.23</v>
      </c>
      <c r="M16" s="56" t="str">
        <f t="shared" ref="M16:M37" si="6">+F16+H16+J16+L16</f>
        <v>100.00%</v>
      </c>
    </row>
    <row r="17" ht="14.25" customHeight="1">
      <c r="A17" s="50" t="str">
        <f>'RESUMO SEM DESONERAÇÃO'!A17</f>
        <v>002</v>
      </c>
      <c r="B17" s="51" t="str">
        <f>'RESUMO SEM DESONERAÇÃO'!B17:C17</f>
        <v>SERVIÇO PRELIMINARES</v>
      </c>
      <c r="C17" s="52" t="str">
        <f>'RESUMO SEM DESONERAÇÃO'!D17</f>
        <v>140994.28</v>
      </c>
      <c r="D17" s="53" t="str">
        <f t="shared" si="1"/>
        <v>7.98</v>
      </c>
      <c r="E17" s="54" t="str">
        <f t="shared" si="2"/>
        <v>  140,994.28 </v>
      </c>
      <c r="F17" s="55">
        <v>1.0</v>
      </c>
      <c r="G17" s="54" t="str">
        <f t="shared" si="3"/>
        <v>  -   </v>
      </c>
      <c r="H17" s="55"/>
      <c r="I17" s="54" t="str">
        <f t="shared" si="4"/>
        <v>  -   </v>
      </c>
      <c r="J17" s="55"/>
      <c r="K17" s="54" t="str">
        <f t="shared" si="5"/>
        <v>  -   </v>
      </c>
      <c r="L17" s="55"/>
      <c r="M17" s="56" t="str">
        <f t="shared" si="6"/>
        <v>100.00%</v>
      </c>
    </row>
    <row r="18" ht="14.25" customHeight="1">
      <c r="A18" s="50" t="str">
        <f>'RESUMO SEM DESONERAÇÃO'!A18</f>
        <v>003</v>
      </c>
      <c r="B18" s="57" t="str">
        <f>'RESUMO SEM DESONERAÇÃO'!B18:C18</f>
        <v>MOVIMENTO DE TERRA</v>
      </c>
      <c r="C18" s="58" t="str">
        <f>'RESUMO SEM DESONERAÇÃO'!D18</f>
        <v>36,379.26</v>
      </c>
      <c r="D18" s="53" t="str">
        <f t="shared" si="1"/>
        <v>2.06</v>
      </c>
      <c r="E18" s="54" t="str">
        <f t="shared" si="2"/>
        <v>  29,103.41 </v>
      </c>
      <c r="F18" s="59">
        <v>0.8</v>
      </c>
      <c r="G18" s="54" t="str">
        <f t="shared" si="3"/>
        <v>  7,275.85 </v>
      </c>
      <c r="H18" s="55">
        <v>0.2</v>
      </c>
      <c r="I18" s="54" t="str">
        <f t="shared" si="4"/>
        <v>  -   </v>
      </c>
      <c r="J18" s="55"/>
      <c r="K18" s="54" t="str">
        <f t="shared" si="5"/>
        <v>  -   </v>
      </c>
      <c r="L18" s="59"/>
      <c r="M18" s="56" t="str">
        <f t="shared" si="6"/>
        <v>100.00%</v>
      </c>
    </row>
    <row r="19" ht="14.25" customHeight="1">
      <c r="A19" s="50" t="str">
        <f>'RESUMO SEM DESONERAÇÃO'!A19</f>
        <v>004</v>
      </c>
      <c r="B19" s="60" t="str">
        <f>'RESUMO SEM DESONERAÇÃO'!B19:C19</f>
        <v>ESTRUTURA EM CONCRETO ARMADO</v>
      </c>
      <c r="C19" s="58" t="str">
        <f>'RESUMO SEM DESONERAÇÃO'!D19</f>
        <v>208,713.45</v>
      </c>
      <c r="D19" s="53" t="str">
        <f t="shared" si="1"/>
        <v>11.81</v>
      </c>
      <c r="E19" s="54" t="str">
        <f t="shared" si="2"/>
        <v>  41,742.69 </v>
      </c>
      <c r="F19" s="55">
        <v>0.2</v>
      </c>
      <c r="G19" s="54" t="str">
        <f t="shared" si="3"/>
        <v>  166,970.76 </v>
      </c>
      <c r="H19" s="55">
        <v>0.8</v>
      </c>
      <c r="I19" s="54" t="str">
        <f t="shared" si="4"/>
        <v>  -   </v>
      </c>
      <c r="J19" s="55">
        <v>0.0</v>
      </c>
      <c r="K19" s="54" t="str">
        <f t="shared" si="5"/>
        <v>  -   </v>
      </c>
      <c r="L19" s="55"/>
      <c r="M19" s="56" t="str">
        <f t="shared" si="6"/>
        <v>100.00%</v>
      </c>
    </row>
    <row r="20" ht="14.25" customHeight="1">
      <c r="A20" s="50" t="str">
        <f>'RESUMO SEM DESONERAÇÃO'!A20</f>
        <v>005</v>
      </c>
      <c r="B20" s="60" t="str">
        <f>'RESUMO SEM DESONERAÇÃO'!B20:C20</f>
        <v>FECHAMENTOS EM ALVENARIA</v>
      </c>
      <c r="C20" s="58" t="str">
        <f>'RESUMO SEM DESONERAÇÃO'!D20</f>
        <v>78,219.26</v>
      </c>
      <c r="D20" s="53" t="str">
        <f t="shared" si="1"/>
        <v>4.43</v>
      </c>
      <c r="E20" s="54" t="str">
        <f t="shared" si="2"/>
        <v>  7,821.93 </v>
      </c>
      <c r="F20" s="55">
        <v>0.1</v>
      </c>
      <c r="G20" s="54" t="str">
        <f t="shared" si="3"/>
        <v>  31,287.70 </v>
      </c>
      <c r="H20" s="55">
        <v>0.4</v>
      </c>
      <c r="I20" s="54" t="str">
        <f t="shared" si="4"/>
        <v>  39,109.63 </v>
      </c>
      <c r="J20" s="55">
        <v>0.5</v>
      </c>
      <c r="K20" s="54" t="str">
        <f t="shared" si="5"/>
        <v>  -   </v>
      </c>
      <c r="L20" s="55"/>
      <c r="M20" s="56" t="str">
        <f t="shared" si="6"/>
        <v>100.00%</v>
      </c>
    </row>
    <row r="21" ht="14.25" customHeight="1">
      <c r="A21" s="50" t="str">
        <f>'RESUMO SEM DESONERAÇÃO'!A21</f>
        <v>006</v>
      </c>
      <c r="B21" s="60" t="str">
        <f>'RESUMO SEM DESONERAÇÃO'!B21:C21</f>
        <v>REVESTIMENTO DE PISO</v>
      </c>
      <c r="C21" s="58" t="str">
        <f>'RESUMO SEM DESONERAÇÃO'!D21</f>
        <v>73,363.72</v>
      </c>
      <c r="D21" s="53" t="str">
        <f t="shared" si="1"/>
        <v>4.15</v>
      </c>
      <c r="E21" s="54" t="str">
        <f t="shared" si="2"/>
        <v>  -   </v>
      </c>
      <c r="F21" s="55"/>
      <c r="G21" s="54" t="str">
        <f t="shared" si="3"/>
        <v>  -   </v>
      </c>
      <c r="H21" s="55"/>
      <c r="I21" s="54" t="str">
        <f t="shared" si="4"/>
        <v>  44,018.23 </v>
      </c>
      <c r="J21" s="55">
        <v>0.6</v>
      </c>
      <c r="K21" s="54" t="str">
        <f t="shared" si="5"/>
        <v>  29,345.49 </v>
      </c>
      <c r="L21" s="55">
        <v>0.4</v>
      </c>
      <c r="M21" s="56" t="str">
        <f t="shared" si="6"/>
        <v>100.00%</v>
      </c>
    </row>
    <row r="22" ht="14.25" customHeight="1">
      <c r="A22" s="50" t="str">
        <f>'RESUMO SEM DESONERAÇÃO'!A22</f>
        <v>007</v>
      </c>
      <c r="B22" s="60" t="str">
        <f>'RESUMO SEM DESONERAÇÃO'!B22:C22</f>
        <v>REVESTIMENTO DE PAREDE</v>
      </c>
      <c r="C22" s="58" t="str">
        <f>'RESUMO SEM DESONERAÇÃO'!D22</f>
        <v>83,509.96</v>
      </c>
      <c r="D22" s="53" t="str">
        <f t="shared" si="1"/>
        <v>4.73</v>
      </c>
      <c r="E22" s="54" t="str">
        <f t="shared" si="2"/>
        <v>  -   </v>
      </c>
      <c r="F22" s="55"/>
      <c r="G22" s="54" t="str">
        <f t="shared" si="3"/>
        <v>  25,052.99 </v>
      </c>
      <c r="H22" s="55">
        <v>0.3</v>
      </c>
      <c r="I22" s="54" t="str">
        <f t="shared" si="4"/>
        <v>  41,754.98 </v>
      </c>
      <c r="J22" s="55">
        <v>0.5</v>
      </c>
      <c r="K22" s="54" t="str">
        <f t="shared" si="5"/>
        <v>  16,701.99 </v>
      </c>
      <c r="L22" s="55">
        <v>0.2</v>
      </c>
      <c r="M22" s="56" t="str">
        <f t="shared" si="6"/>
        <v>100.00%</v>
      </c>
    </row>
    <row r="23" ht="14.25" customHeight="1">
      <c r="A23" s="50" t="str">
        <f>'RESUMO SEM DESONERAÇÃO'!A23</f>
        <v>008</v>
      </c>
      <c r="B23" s="60" t="str">
        <f>'RESUMO SEM DESONERAÇÃO'!B23:C23</f>
        <v>ESQUADRIAS</v>
      </c>
      <c r="C23" s="58" t="str">
        <f>'RESUMO SEM DESONERAÇÃO'!D23</f>
        <v>62,770.30</v>
      </c>
      <c r="D23" s="53" t="str">
        <f t="shared" si="1"/>
        <v>3.55</v>
      </c>
      <c r="E23" s="54" t="str">
        <f t="shared" si="2"/>
        <v>  -   </v>
      </c>
      <c r="F23" s="55"/>
      <c r="G23" s="54" t="str">
        <f t="shared" si="3"/>
        <v>  12,554.06 </v>
      </c>
      <c r="H23" s="55">
        <v>0.2</v>
      </c>
      <c r="I23" s="54" t="str">
        <f t="shared" si="4"/>
        <v>  37,662.18 </v>
      </c>
      <c r="J23" s="55">
        <v>0.6</v>
      </c>
      <c r="K23" s="54" t="str">
        <f t="shared" si="5"/>
        <v>  12,554.06 </v>
      </c>
      <c r="L23" s="55">
        <v>0.2</v>
      </c>
      <c r="M23" s="56" t="str">
        <f t="shared" si="6"/>
        <v>100.00%</v>
      </c>
    </row>
    <row r="24" ht="18.0" customHeight="1">
      <c r="A24" s="50" t="str">
        <f>'RESUMO SEM DESONERAÇÃO'!A24</f>
        <v>009</v>
      </c>
      <c r="B24" s="60" t="str">
        <f>'RESUMO SEM DESONERAÇÃO'!B24:C24</f>
        <v>PINTURA</v>
      </c>
      <c r="C24" s="58" t="str">
        <f>'RESUMO SEM DESONERAÇÃO'!D24</f>
        <v>44,172.49</v>
      </c>
      <c r="D24" s="53" t="str">
        <f t="shared" si="1"/>
        <v>2.50</v>
      </c>
      <c r="E24" s="54" t="str">
        <f t="shared" si="2"/>
        <v>  -   </v>
      </c>
      <c r="F24" s="55"/>
      <c r="G24" s="54" t="str">
        <f t="shared" si="3"/>
        <v>  -   </v>
      </c>
      <c r="H24" s="55">
        <v>0.0</v>
      </c>
      <c r="I24" s="54" t="str">
        <f t="shared" si="4"/>
        <v>  8,834.50 </v>
      </c>
      <c r="J24" s="55">
        <v>0.2</v>
      </c>
      <c r="K24" s="54" t="str">
        <f t="shared" si="5"/>
        <v>  35,337.99 </v>
      </c>
      <c r="L24" s="55">
        <v>0.8</v>
      </c>
      <c r="M24" s="56" t="str">
        <f t="shared" si="6"/>
        <v>100.00%</v>
      </c>
    </row>
    <row r="25" ht="18.0" customHeight="1">
      <c r="A25" s="50" t="str">
        <f>'RESUMO SEM DESONERAÇÃO'!A25</f>
        <v>010</v>
      </c>
      <c r="B25" s="60" t="str">
        <f>'RESUMO SEM DESONERAÇÃO'!B25:C25</f>
        <v>COBERTURA </v>
      </c>
      <c r="C25" s="58" t="str">
        <f>'RESUMO SEM DESONERAÇÃO'!D25</f>
        <v>93,720.18</v>
      </c>
      <c r="D25" s="53" t="str">
        <f t="shared" si="1"/>
        <v>5.30</v>
      </c>
      <c r="E25" s="54" t="str">
        <f t="shared" si="2"/>
        <v>  -   </v>
      </c>
      <c r="F25" s="55"/>
      <c r="G25" s="54" t="str">
        <f t="shared" si="3"/>
        <v>  28,116.05 </v>
      </c>
      <c r="H25" s="55">
        <v>0.3</v>
      </c>
      <c r="I25" s="54" t="str">
        <f t="shared" si="4"/>
        <v>  46,860.09 </v>
      </c>
      <c r="J25" s="55">
        <v>0.5</v>
      </c>
      <c r="K25" s="54" t="str">
        <f t="shared" si="5"/>
        <v>  18,744.04 </v>
      </c>
      <c r="L25" s="55">
        <v>0.2</v>
      </c>
      <c r="M25" s="56" t="str">
        <f t="shared" si="6"/>
        <v>100.00%</v>
      </c>
    </row>
    <row r="26" ht="14.25" customHeight="1">
      <c r="A26" s="50" t="str">
        <f>'RESUMO SEM DESONERAÇÃO'!A26</f>
        <v>011</v>
      </c>
      <c r="B26" s="60" t="str">
        <f>'RESUMO SEM DESONERAÇÃO'!B26:C26</f>
        <v>INSTALAÇÕES ELÉTRICAS</v>
      </c>
      <c r="C26" s="58" t="str">
        <f>'RESUMO SEM DESONERAÇÃO'!D26</f>
        <v>31,127.07</v>
      </c>
      <c r="D26" s="53" t="str">
        <f t="shared" si="1"/>
        <v>1.76</v>
      </c>
      <c r="E26" s="54" t="str">
        <f t="shared" si="2"/>
        <v>  -   </v>
      </c>
      <c r="F26" s="55"/>
      <c r="G26" s="54" t="str">
        <f t="shared" si="3"/>
        <v>  15,563.54 </v>
      </c>
      <c r="H26" s="55">
        <v>0.5</v>
      </c>
      <c r="I26" s="54" t="str">
        <f t="shared" si="4"/>
        <v>  15,563.54 </v>
      </c>
      <c r="J26" s="55">
        <v>0.5</v>
      </c>
      <c r="K26" s="54" t="str">
        <f t="shared" si="5"/>
        <v>  -   </v>
      </c>
      <c r="L26" s="55">
        <v>0.0</v>
      </c>
      <c r="M26" s="56" t="str">
        <f t="shared" si="6"/>
        <v>100.00%</v>
      </c>
    </row>
    <row r="27" ht="14.25" customHeight="1">
      <c r="A27" s="50" t="str">
        <f>'RESUMO SEM DESONERAÇÃO'!A27</f>
        <v>11.2</v>
      </c>
      <c r="B27" s="60" t="str">
        <f>'RESUMO SEM DESONERAÇÃO'!B27:C27</f>
        <v>CABEAMENTO ESTRUTURADO </v>
      </c>
      <c r="C27" s="58" t="str">
        <f>'RESUMO SEM DESONERAÇÃO'!D27</f>
        <v>22,515.34</v>
      </c>
      <c r="D27" s="53" t="str">
        <f t="shared" si="1"/>
        <v>1.27</v>
      </c>
      <c r="E27" s="54" t="str">
        <f t="shared" si="2"/>
        <v>  -   </v>
      </c>
      <c r="F27" s="55"/>
      <c r="G27" s="54" t="str">
        <f t="shared" si="3"/>
        <v>  6,754.60 </v>
      </c>
      <c r="H27" s="55">
        <v>0.3</v>
      </c>
      <c r="I27" s="54" t="str">
        <f t="shared" si="4"/>
        <v>  15,760.74 </v>
      </c>
      <c r="J27" s="55">
        <v>0.7</v>
      </c>
      <c r="K27" s="54" t="str">
        <f t="shared" si="5"/>
        <v>  -   </v>
      </c>
      <c r="L27" s="55">
        <v>0.0</v>
      </c>
      <c r="M27" s="56" t="str">
        <f t="shared" si="6"/>
        <v>100.00%</v>
      </c>
    </row>
    <row r="28" ht="14.25" customHeight="1">
      <c r="A28" s="50" t="str">
        <f>'RESUMO SEM DESONERAÇÃO'!A28</f>
        <v>012</v>
      </c>
      <c r="B28" s="60" t="str">
        <f>'RESUMO SEM DESONERAÇÃO'!B28:C28</f>
        <v>SPDA</v>
      </c>
      <c r="C28" s="58" t="str">
        <f>'RESUMO SEM DESONERAÇÃO'!D28</f>
        <v>22,381.59</v>
      </c>
      <c r="D28" s="53" t="str">
        <f t="shared" si="1"/>
        <v>1.27</v>
      </c>
      <c r="E28" s="54" t="str">
        <f t="shared" si="2"/>
        <v>  -   </v>
      </c>
      <c r="F28" s="55"/>
      <c r="G28" s="54" t="str">
        <f t="shared" si="3"/>
        <v>  6,714.48 </v>
      </c>
      <c r="H28" s="55">
        <v>0.3</v>
      </c>
      <c r="I28" s="54" t="str">
        <f t="shared" si="4"/>
        <v>  15,667.11 </v>
      </c>
      <c r="J28" s="55">
        <v>0.7</v>
      </c>
      <c r="K28" s="54" t="str">
        <f t="shared" si="5"/>
        <v>  -   </v>
      </c>
      <c r="L28" s="55">
        <v>0.0</v>
      </c>
      <c r="M28" s="56" t="str">
        <f t="shared" si="6"/>
        <v>100.00%</v>
      </c>
    </row>
    <row r="29" ht="14.25" customHeight="1">
      <c r="A29" s="50" t="str">
        <f>'RESUMO SEM DESONERAÇÃO'!A29</f>
        <v>013</v>
      </c>
      <c r="B29" s="60" t="str">
        <f>'RESUMO SEM DESONERAÇÃO'!B29:C29</f>
        <v>INSTALAÇÕES HIDRÁULICAS</v>
      </c>
      <c r="C29" s="58" t="str">
        <f>'RESUMO SEM DESONERAÇÃO'!D29</f>
        <v>15,338.72</v>
      </c>
      <c r="D29" s="53" t="str">
        <f t="shared" si="1"/>
        <v>0.87</v>
      </c>
      <c r="E29" s="54" t="str">
        <f t="shared" si="2"/>
        <v>  -   </v>
      </c>
      <c r="F29" s="55"/>
      <c r="G29" s="54" t="str">
        <f t="shared" si="3"/>
        <v>  7,669.36 </v>
      </c>
      <c r="H29" s="55">
        <v>0.5</v>
      </c>
      <c r="I29" s="54" t="str">
        <f t="shared" si="4"/>
        <v>  7,669.36 </v>
      </c>
      <c r="J29" s="55">
        <v>0.5</v>
      </c>
      <c r="K29" s="54" t="str">
        <f t="shared" si="5"/>
        <v>  -   </v>
      </c>
      <c r="L29" s="55">
        <v>0.0</v>
      </c>
      <c r="M29" s="56" t="str">
        <f t="shared" si="6"/>
        <v>100.00%</v>
      </c>
    </row>
    <row r="30" ht="14.25" customHeight="1">
      <c r="A30" s="50" t="str">
        <f>'RESUMO SEM DESONERAÇÃO'!A30</f>
        <v>014</v>
      </c>
      <c r="B30" s="60" t="str">
        <f>'RESUMO SEM DESONERAÇÃO'!B30:C30</f>
        <v>APARELHOS E METAIS</v>
      </c>
      <c r="C30" s="58" t="str">
        <f>'RESUMO SEM DESONERAÇÃO'!D30</f>
        <v>8,240.14</v>
      </c>
      <c r="D30" s="53" t="str">
        <f t="shared" si="1"/>
        <v>0.47</v>
      </c>
      <c r="E30" s="54" t="str">
        <f t="shared" si="2"/>
        <v>  -   </v>
      </c>
      <c r="F30" s="55"/>
      <c r="G30" s="54" t="str">
        <f t="shared" si="3"/>
        <v>  1,648.03 </v>
      </c>
      <c r="H30" s="55">
        <v>0.2</v>
      </c>
      <c r="I30" s="54" t="str">
        <f t="shared" si="4"/>
        <v>  6,592.11 </v>
      </c>
      <c r="J30" s="55">
        <v>0.8</v>
      </c>
      <c r="K30" s="54" t="str">
        <f t="shared" si="5"/>
        <v>  -   </v>
      </c>
      <c r="L30" s="55"/>
      <c r="M30" s="56" t="str">
        <f t="shared" si="6"/>
        <v>100.00%</v>
      </c>
    </row>
    <row r="31" ht="14.25" customHeight="1">
      <c r="A31" s="50" t="str">
        <f>'RESUMO SEM DESONERAÇÃO'!A31</f>
        <v>15.1</v>
      </c>
      <c r="B31" s="60" t="str">
        <f>'RESUMO SEM DESONERAÇÃO'!B31:C31</f>
        <v>SERVIÇOS DE INSTALAÇÕES SANITÁRIAS</v>
      </c>
      <c r="C31" s="58" t="str">
        <f>'RESUMO SEM DESONERAÇÃO'!D31</f>
        <v>6,330.55</v>
      </c>
      <c r="D31" s="53" t="str">
        <f t="shared" si="1"/>
        <v>0.36</v>
      </c>
      <c r="E31" s="54" t="str">
        <f t="shared" si="2"/>
        <v>  -   </v>
      </c>
      <c r="F31" s="55"/>
      <c r="G31" s="54" t="str">
        <f t="shared" si="3"/>
        <v>  3,165.28 </v>
      </c>
      <c r="H31" s="55">
        <v>0.5</v>
      </c>
      <c r="I31" s="54" t="str">
        <f t="shared" si="4"/>
        <v>  3,165.28 </v>
      </c>
      <c r="J31" s="55">
        <v>0.5</v>
      </c>
      <c r="K31" s="54" t="str">
        <f t="shared" si="5"/>
        <v>  -   </v>
      </c>
      <c r="L31" s="55">
        <v>0.0</v>
      </c>
      <c r="M31" s="56" t="str">
        <f t="shared" si="6"/>
        <v>100.00%</v>
      </c>
    </row>
    <row r="32" ht="53.25" customHeight="1">
      <c r="A32" s="50" t="str">
        <f>'RESUMO SEM DESONERAÇÃO'!A32</f>
        <v>15.2.1</v>
      </c>
      <c r="B32" s="60" t="str">
        <f>'RESUMO SEM DESONERAÇÃO'!B32:C32</f>
        <v>SUMIDOURO CIRCULAR, EM ALVENARIA COM TIJOLOS CERÂMICOS MACIÇOS, DIMENSÕES INTERNAS: DIAMETRO 2,84 M, ALTURA 3,00 M, ÁREA DE INFILTRAÇÃO: 132,40 M² </v>
      </c>
      <c r="C32" s="58" t="str">
        <f>'RESUMO SEM DESONERAÇÃO'!D32</f>
        <v>5,669.12</v>
      </c>
      <c r="D32" s="53" t="str">
        <f t="shared" si="1"/>
        <v>0.32</v>
      </c>
      <c r="E32" s="54" t="str">
        <f t="shared" si="2"/>
        <v>  -   </v>
      </c>
      <c r="F32" s="55"/>
      <c r="G32" s="54" t="str">
        <f t="shared" si="3"/>
        <v>  -   </v>
      </c>
      <c r="H32" s="55"/>
      <c r="I32" s="54" t="str">
        <f t="shared" si="4"/>
        <v>  5,669.12 </v>
      </c>
      <c r="J32" s="55">
        <v>1.0</v>
      </c>
      <c r="K32" s="54" t="str">
        <f t="shared" si="5"/>
        <v>  -   </v>
      </c>
      <c r="L32" s="55"/>
      <c r="M32" s="56" t="str">
        <f t="shared" si="6"/>
        <v>100.00%</v>
      </c>
    </row>
    <row r="33" ht="45.75" customHeight="1">
      <c r="A33" s="50" t="str">
        <f>'RESUMO SEM DESONERAÇÃO'!A33</f>
        <v>15.2.2</v>
      </c>
      <c r="B33" s="60" t="str">
        <f>'RESUMO SEM DESONERAÇÃO'!B33:C33</f>
        <v>FOSSA SÉPTICA E FILTRO ANAERÓBIO CONJUGADO EM BLOCO DE CONCRETO</v>
      </c>
      <c r="C33" s="58" t="str">
        <f>'RESUMO SEM DESONERAÇÃO'!D33</f>
        <v>7,632.54</v>
      </c>
      <c r="D33" s="53" t="str">
        <f t="shared" si="1"/>
        <v>0.43</v>
      </c>
      <c r="E33" s="54" t="str">
        <f t="shared" si="2"/>
        <v>  -   </v>
      </c>
      <c r="F33" s="55"/>
      <c r="G33" s="54" t="str">
        <f t="shared" si="3"/>
        <v>  -   </v>
      </c>
      <c r="H33" s="55">
        <v>0.0</v>
      </c>
      <c r="I33" s="54" t="str">
        <f t="shared" si="4"/>
        <v>  6,106.03 </v>
      </c>
      <c r="J33" s="55">
        <v>0.8</v>
      </c>
      <c r="K33" s="54" t="str">
        <f t="shared" si="5"/>
        <v>  1,526.51 </v>
      </c>
      <c r="L33" s="55">
        <v>0.2</v>
      </c>
      <c r="M33" s="56" t="str">
        <f t="shared" si="6"/>
        <v>100.00%</v>
      </c>
    </row>
    <row r="34" ht="14.25" customHeight="1">
      <c r="A34" s="50" t="str">
        <f>'RESUMO SEM DESONERAÇÃO'!A34</f>
        <v>016</v>
      </c>
      <c r="B34" s="60" t="str">
        <f>'RESUMO SEM DESONERAÇÃO'!B34:C34</f>
        <v>BANCADAS, RODABANCADAS, DIVISÓRIAS E REQUADRO EM GRANITO </v>
      </c>
      <c r="C34" s="58" t="str">
        <f>'RESUMO SEM DESONERAÇÃO'!D34</f>
        <v>10,523.78</v>
      </c>
      <c r="D34" s="53" t="str">
        <f t="shared" si="1"/>
        <v>0.60</v>
      </c>
      <c r="E34" s="54" t="str">
        <f t="shared" si="2"/>
        <v>  -   </v>
      </c>
      <c r="F34" s="55"/>
      <c r="G34" s="54" t="str">
        <f t="shared" si="3"/>
        <v>  -   </v>
      </c>
      <c r="H34" s="55"/>
      <c r="I34" s="54" t="str">
        <f t="shared" si="4"/>
        <v>  -   </v>
      </c>
      <c r="J34" s="55"/>
      <c r="K34" s="54" t="str">
        <f t="shared" si="5"/>
        <v>  10,523.78 </v>
      </c>
      <c r="L34" s="55">
        <v>1.0</v>
      </c>
      <c r="M34" s="56" t="str">
        <f t="shared" si="6"/>
        <v>100.00%</v>
      </c>
    </row>
    <row r="35" ht="14.25" customHeight="1">
      <c r="A35" s="50" t="str">
        <f>'RESUMO SEM DESONERAÇÃO'!A35</f>
        <v>017</v>
      </c>
      <c r="B35" s="60" t="str">
        <f>'RESUMO SEM DESONERAÇÃO'!B35:C35</f>
        <v>MURETA COM GRADIL</v>
      </c>
      <c r="C35" s="58" t="str">
        <f>'RESUMO SEM DESONERAÇÃO'!D35</f>
        <v>505,229.90</v>
      </c>
      <c r="D35" s="53" t="str">
        <f t="shared" si="1"/>
        <v>28.59</v>
      </c>
      <c r="E35" s="54" t="str">
        <f t="shared" si="2"/>
        <v>  -   </v>
      </c>
      <c r="F35" s="55"/>
      <c r="G35" s="54" t="str">
        <f t="shared" si="3"/>
        <v>  151,568.97 </v>
      </c>
      <c r="H35" s="55">
        <v>0.3</v>
      </c>
      <c r="I35" s="54" t="str">
        <f t="shared" si="4"/>
        <v>  303,137.94 </v>
      </c>
      <c r="J35" s="55">
        <v>0.6</v>
      </c>
      <c r="K35" s="54" t="str">
        <f t="shared" si="5"/>
        <v>  50,522.99 </v>
      </c>
      <c r="L35" s="55">
        <v>0.1</v>
      </c>
      <c r="M35" s="56" t="str">
        <f t="shared" si="6"/>
        <v>100.00%</v>
      </c>
    </row>
    <row r="36" ht="14.25" customHeight="1">
      <c r="A36" s="50" t="str">
        <f>'RESUMO SEM DESONERAÇÃO'!A36</f>
        <v>018</v>
      </c>
      <c r="B36" s="60" t="str">
        <f>'RESUMO SEM DESONERAÇÃO'!B36:C36</f>
        <v>SERVIÇOS CONSTRUTIVOS COMPLEMENTARES</v>
      </c>
      <c r="C36" s="58" t="str">
        <f>'RESUMO SEM DESONERAÇÃO'!D36</f>
        <v>227,762.48</v>
      </c>
      <c r="D36" s="53" t="str">
        <f t="shared" si="1"/>
        <v>12.89</v>
      </c>
      <c r="E36" s="54" t="str">
        <f t="shared" si="2"/>
        <v>  -   </v>
      </c>
      <c r="F36" s="55"/>
      <c r="G36" s="54" t="str">
        <f t="shared" si="3"/>
        <v>  -   </v>
      </c>
      <c r="H36" s="55">
        <v>0.0</v>
      </c>
      <c r="I36" s="54" t="str">
        <f t="shared" si="4"/>
        <v>  45,552.50 </v>
      </c>
      <c r="J36" s="55">
        <v>0.2</v>
      </c>
      <c r="K36" s="54" t="str">
        <f t="shared" si="5"/>
        <v>  182,209.98 </v>
      </c>
      <c r="L36" s="55">
        <v>0.8</v>
      </c>
      <c r="M36" s="56" t="str">
        <f t="shared" si="6"/>
        <v>100.00%</v>
      </c>
    </row>
    <row r="37" ht="14.25" customHeight="1">
      <c r="A37" s="50" t="str">
        <f>'RESUMO SEM DESONERAÇÃO'!A37</f>
        <v>019</v>
      </c>
      <c r="B37" s="60" t="str">
        <f>'RESUMO SEM DESONERAÇÃO'!B37:C37</f>
        <v>LIMPEZA GERAL</v>
      </c>
      <c r="C37" s="58" t="str">
        <f>'RESUMO SEM DESONERAÇÃO'!D37</f>
        <v>2,141.94</v>
      </c>
      <c r="D37" s="53" t="str">
        <f t="shared" si="1"/>
        <v>0.12</v>
      </c>
      <c r="E37" s="54" t="str">
        <f t="shared" si="2"/>
        <v>  -   </v>
      </c>
      <c r="F37" s="55"/>
      <c r="G37" s="54" t="str">
        <f t="shared" si="3"/>
        <v>  -   </v>
      </c>
      <c r="H37" s="55"/>
      <c r="I37" s="54" t="str">
        <f t="shared" si="4"/>
        <v>  -   </v>
      </c>
      <c r="J37" s="55"/>
      <c r="K37" s="54" t="str">
        <f t="shared" si="5"/>
        <v>  2,141.94 </v>
      </c>
      <c r="L37" s="55">
        <v>1.0</v>
      </c>
      <c r="M37" s="56" t="str">
        <f t="shared" si="6"/>
        <v>100.00%</v>
      </c>
    </row>
    <row r="38" ht="14.25" customHeight="1">
      <c r="A38" s="61"/>
      <c r="B38" s="62" t="s">
        <v>13</v>
      </c>
      <c r="C38" s="63" t="str">
        <f t="shared" ref="C38:E38" si="7">SUM(C16:C37)</f>
        <v>  1,767,160.46 </v>
      </c>
      <c r="D38" s="64" t="str">
        <f t="shared" si="7"/>
        <v>100.00</v>
      </c>
      <c r="E38" s="64" t="str">
        <f t="shared" si="7"/>
        <v>230,117.47</v>
      </c>
      <c r="F38" s="65" t="str">
        <f>+E38/$C38</f>
        <v>13.02%</v>
      </c>
      <c r="G38" s="66" t="str">
        <f>SUM(G16:G37)</f>
        <v>486056.25</v>
      </c>
      <c r="H38" s="65" t="str">
        <f>+G38/$C38</f>
        <v>27.50%</v>
      </c>
      <c r="I38" s="66" t="str">
        <f>SUM(I16:I37)</f>
        <v>672880.36</v>
      </c>
      <c r="J38" s="65" t="str">
        <f>+I38/$C38</f>
        <v>38.08%</v>
      </c>
      <c r="K38" s="64" t="str">
        <f>SUM(K16:K37)</f>
        <v>378,106.38</v>
      </c>
      <c r="L38" s="65" t="str">
        <f>K38/$C38</f>
        <v>21.40%</v>
      </c>
      <c r="M38" s="67"/>
    </row>
    <row r="39" ht="14.25" customHeight="1">
      <c r="A39" s="68"/>
      <c r="B39" s="69" t="s">
        <v>14</v>
      </c>
      <c r="C39" s="70"/>
      <c r="D39" s="71"/>
      <c r="E39" s="72" t="str">
        <f>E38</f>
        <v>230,117.47</v>
      </c>
      <c r="F39" s="73" t="str">
        <f>E39/$C38</f>
        <v>13.02%</v>
      </c>
      <c r="G39" s="74" t="str">
        <f>E39+G38</f>
        <v>716173.73</v>
      </c>
      <c r="H39" s="73" t="str">
        <f>G39/$C38</f>
        <v>40.53%</v>
      </c>
      <c r="I39" s="74" t="str">
        <f>G39+I38</f>
        <v>1389054.08</v>
      </c>
      <c r="J39" s="73" t="str">
        <f>I39/$C38</f>
        <v>78.60%</v>
      </c>
      <c r="K39" s="74" t="str">
        <f>I39+K38</f>
        <v>1767160.46</v>
      </c>
      <c r="L39" s="73" t="str">
        <f>+J39+L38</f>
        <v>100.00%</v>
      </c>
      <c r="M39" s="75"/>
    </row>
    <row r="40" ht="15.7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16">
    <mergeCell ref="G14:H14"/>
    <mergeCell ref="I14:J14"/>
    <mergeCell ref="B7:F7"/>
    <mergeCell ref="B8:F8"/>
    <mergeCell ref="B10:F10"/>
    <mergeCell ref="B9:F9"/>
    <mergeCell ref="C2:K2"/>
    <mergeCell ref="C3:K3"/>
    <mergeCell ref="C4:K4"/>
    <mergeCell ref="K14:L14"/>
    <mergeCell ref="A12:M12"/>
    <mergeCell ref="A13:A15"/>
    <mergeCell ref="B13:B15"/>
    <mergeCell ref="C13:D14"/>
    <mergeCell ref="E13:M13"/>
    <mergeCell ref="E14:F14"/>
  </mergeCells>
  <printOptions horizontalCentered="1" verticalCentered="1"/>
  <pageMargins bottom="0.984251968503937" footer="0.0" header="0.0" left="0.7874015748031497" right="0.5905511811023623" top="1.1811023622047245"/>
  <pageSetup paperSize="9" scale="55"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14"/>
    <col customWidth="1" min="2" max="2" width="11.57"/>
    <col customWidth="1" min="3" max="3" width="17.14"/>
    <col customWidth="1" min="4" max="4" width="15.86"/>
    <col customWidth="1" min="5" max="5" width="31.14"/>
    <col customWidth="1" min="6" max="6" width="15.86"/>
    <col customWidth="1" min="7" max="7" width="14.71"/>
    <col customWidth="1" min="8" max="12" width="8.71"/>
  </cols>
  <sheetData>
    <row r="1" ht="14.25" customHeight="1">
      <c r="A1" s="1181" t="s">
        <v>913</v>
      </c>
      <c r="B1" s="34"/>
      <c r="C1" s="34"/>
      <c r="D1" s="34"/>
      <c r="E1" s="34"/>
      <c r="F1" s="34"/>
      <c r="G1" s="35"/>
    </row>
    <row r="2" ht="14.25" customHeight="1">
      <c r="A2" s="1182" t="s">
        <v>1563</v>
      </c>
      <c r="G2" s="571"/>
    </row>
    <row r="3" ht="14.25" customHeight="1">
      <c r="A3" s="1182" t="s">
        <v>915</v>
      </c>
      <c r="G3" s="571"/>
    </row>
    <row r="4" ht="14.25" customHeight="1">
      <c r="A4" s="1183"/>
      <c r="B4" s="1184"/>
      <c r="C4" s="1184"/>
      <c r="D4" s="1184"/>
      <c r="E4" s="1184"/>
      <c r="F4" s="1184"/>
      <c r="G4" s="1185"/>
    </row>
    <row r="5" ht="14.25" customHeight="1">
      <c r="A5" s="1186" t="s">
        <v>1564</v>
      </c>
      <c r="B5" s="1187" t="s">
        <v>1565</v>
      </c>
      <c r="G5" s="1188"/>
    </row>
    <row r="6" ht="14.25" customHeight="1">
      <c r="A6" s="1186" t="s">
        <v>1566</v>
      </c>
      <c r="B6" s="1039" t="s">
        <v>1567</v>
      </c>
      <c r="F6" s="1189"/>
      <c r="G6" s="1190"/>
    </row>
    <row r="7" ht="14.25" customHeight="1">
      <c r="A7" s="1191" t="s">
        <v>1568</v>
      </c>
      <c r="B7" s="1192" t="s">
        <v>1569</v>
      </c>
      <c r="C7" s="1192"/>
      <c r="D7" s="1192"/>
      <c r="E7" s="1192"/>
      <c r="F7" s="1193" t="s">
        <v>1469</v>
      </c>
      <c r="G7" s="1194" t="s">
        <v>1570</v>
      </c>
    </row>
    <row r="8" ht="14.25" customHeight="1">
      <c r="A8" s="1191" t="s">
        <v>1571</v>
      </c>
      <c r="B8" s="1192" t="s">
        <v>30</v>
      </c>
      <c r="C8" s="1192"/>
      <c r="D8" s="1192"/>
      <c r="E8" s="1192"/>
      <c r="F8" s="1184"/>
      <c r="G8" s="1185"/>
    </row>
    <row r="9" ht="14.25" customHeight="1">
      <c r="A9" s="1195"/>
      <c r="B9" s="1196"/>
      <c r="C9" s="1196"/>
      <c r="D9" s="1196"/>
      <c r="E9" s="1196"/>
      <c r="F9" s="1196"/>
      <c r="G9" s="1197"/>
    </row>
    <row r="10" ht="14.25" customHeight="1">
      <c r="A10" s="1198" t="s">
        <v>1572</v>
      </c>
      <c r="B10" s="28"/>
      <c r="C10" s="28"/>
      <c r="D10" s="28"/>
      <c r="E10" s="28"/>
      <c r="F10" s="28"/>
      <c r="G10" s="29"/>
    </row>
    <row r="11" ht="14.25" customHeight="1">
      <c r="A11" s="1199" t="s">
        <v>1573</v>
      </c>
      <c r="B11" s="1200" t="s">
        <v>1574</v>
      </c>
      <c r="C11" s="28"/>
      <c r="D11" s="28"/>
      <c r="E11" s="28"/>
      <c r="F11" s="28"/>
      <c r="G11" s="29"/>
    </row>
    <row r="12" ht="14.25" customHeight="1">
      <c r="A12" s="1201"/>
      <c r="B12" s="1202"/>
      <c r="C12" s="1202"/>
      <c r="D12" s="1202"/>
      <c r="E12" s="1202"/>
      <c r="F12" s="1202"/>
      <c r="G12" s="1203"/>
    </row>
    <row r="13" ht="14.25" customHeight="1">
      <c r="A13" s="1199" t="s">
        <v>43</v>
      </c>
      <c r="B13" s="1200" t="s">
        <v>45</v>
      </c>
      <c r="C13" s="28"/>
      <c r="D13" s="28"/>
      <c r="E13" s="28"/>
      <c r="F13" s="28"/>
      <c r="G13" s="29"/>
    </row>
    <row r="14" ht="14.25" customHeight="1">
      <c r="A14" s="1204"/>
      <c r="B14" s="1205"/>
      <c r="C14" s="1205"/>
      <c r="D14" s="1205"/>
      <c r="E14" s="1205"/>
      <c r="F14" s="1205"/>
      <c r="G14" s="1206"/>
    </row>
    <row r="15" ht="14.25" customHeight="1">
      <c r="A15" s="1199" t="s">
        <v>1575</v>
      </c>
      <c r="B15" s="1200" t="s">
        <v>1576</v>
      </c>
      <c r="C15" s="28"/>
      <c r="D15" s="28"/>
      <c r="E15" s="28"/>
      <c r="F15" s="28"/>
      <c r="G15" s="29"/>
    </row>
    <row r="16" ht="14.25" customHeight="1">
      <c r="A16" s="1207" t="s">
        <v>1577</v>
      </c>
      <c r="B16" s="107"/>
      <c r="C16" s="107"/>
      <c r="D16" s="107"/>
      <c r="E16" s="107"/>
      <c r="F16" s="107"/>
      <c r="G16" s="781"/>
    </row>
    <row r="17" ht="14.25" customHeight="1">
      <c r="A17" s="1208" t="s">
        <v>1578</v>
      </c>
      <c r="B17" s="561"/>
      <c r="C17" s="561"/>
      <c r="D17" s="561"/>
      <c r="E17" s="561"/>
      <c r="F17" s="561"/>
      <c r="G17" s="124"/>
    </row>
    <row r="18" ht="14.25" customHeight="1">
      <c r="A18" s="1209"/>
      <c r="B18" s="1210"/>
      <c r="C18" s="1211" t="s">
        <v>1579</v>
      </c>
      <c r="D18" s="1212" t="s">
        <v>1580</v>
      </c>
      <c r="E18" s="561"/>
      <c r="F18" s="561"/>
      <c r="G18" s="124"/>
    </row>
    <row r="19" ht="24.75" customHeight="1">
      <c r="A19" s="1213"/>
      <c r="B19" s="39"/>
      <c r="C19" s="1214" t="str">
        <f>2.5*5</f>
        <v>12.50</v>
      </c>
      <c r="D19" s="1215" t="s">
        <v>1581</v>
      </c>
      <c r="E19" s="561"/>
      <c r="F19" s="561"/>
      <c r="G19" s="124"/>
    </row>
    <row r="20" ht="14.25" customHeight="1">
      <c r="A20" s="1216" t="s">
        <v>1467</v>
      </c>
      <c r="B20" s="712"/>
      <c r="C20" s="1217" t="str">
        <f>SUM(C19)</f>
        <v>12.50</v>
      </c>
      <c r="D20" s="1218"/>
      <c r="E20" s="127"/>
      <c r="F20" s="127"/>
      <c r="G20" s="128"/>
    </row>
    <row r="21" ht="14.25" customHeight="1">
      <c r="A21" s="1204"/>
      <c r="B21" s="1219"/>
      <c r="C21" s="1220"/>
      <c r="D21" s="1221"/>
      <c r="E21" s="1221"/>
      <c r="F21" s="1221"/>
      <c r="G21" s="1222"/>
    </row>
    <row r="22" ht="14.25" customHeight="1">
      <c r="A22" s="1199" t="s">
        <v>1582</v>
      </c>
      <c r="B22" s="1200" t="s">
        <v>1583</v>
      </c>
      <c r="C22" s="28"/>
      <c r="D22" s="28"/>
      <c r="E22" s="28"/>
      <c r="F22" s="28"/>
      <c r="G22" s="29"/>
    </row>
    <row r="23" ht="14.25" customHeight="1">
      <c r="A23" s="1223" t="s">
        <v>1577</v>
      </c>
      <c r="B23" s="561"/>
      <c r="C23" s="561"/>
      <c r="D23" s="561"/>
      <c r="E23" s="561"/>
      <c r="F23" s="561"/>
      <c r="G23" s="124"/>
    </row>
    <row r="24" ht="14.25" customHeight="1">
      <c r="A24" s="1224" t="s">
        <v>1584</v>
      </c>
      <c r="B24" s="854"/>
      <c r="C24" s="854"/>
      <c r="D24" s="854"/>
      <c r="E24" s="854"/>
      <c r="F24" s="854"/>
      <c r="G24" s="855"/>
    </row>
    <row r="25" ht="14.25" customHeight="1">
      <c r="A25" s="1225" t="s">
        <v>1585</v>
      </c>
      <c r="B25" s="1226" t="s">
        <v>1586</v>
      </c>
      <c r="C25" s="1227" t="s">
        <v>1587</v>
      </c>
      <c r="D25" s="1226" t="s">
        <v>1588</v>
      </c>
      <c r="E25" s="1228" t="s">
        <v>1580</v>
      </c>
      <c r="F25" s="561"/>
      <c r="G25" s="124"/>
    </row>
    <row r="26" ht="14.25" customHeight="1">
      <c r="A26" s="1229" t="s">
        <v>1589</v>
      </c>
      <c r="B26" s="1230" t="str">
        <f>69.39+82.84+45.25</f>
        <v>197.48</v>
      </c>
      <c r="C26" s="1231">
        <v>2.0</v>
      </c>
      <c r="D26" s="1230" t="str">
        <f>B26*C26</f>
        <v>394.96</v>
      </c>
      <c r="E26" s="1232" t="s">
        <v>1590</v>
      </c>
      <c r="F26" s="561"/>
      <c r="G26" s="124"/>
    </row>
    <row r="27" ht="14.25" customHeight="1">
      <c r="A27" s="1233" t="s">
        <v>1467</v>
      </c>
      <c r="B27" s="127"/>
      <c r="C27" s="712"/>
      <c r="D27" s="1234" t="str">
        <f>D26</f>
        <v>394.96</v>
      </c>
      <c r="E27" s="1235"/>
      <c r="F27" s="1235"/>
      <c r="G27" s="1236"/>
    </row>
    <row r="28" ht="14.25" customHeight="1">
      <c r="A28" s="1237"/>
      <c r="B28" s="1238"/>
      <c r="C28" s="1238"/>
      <c r="D28" s="1239"/>
      <c r="E28" s="1239"/>
      <c r="F28" s="1239"/>
      <c r="G28" s="1240"/>
    </row>
    <row r="29" ht="25.5" customHeight="1">
      <c r="A29" s="1241" t="s">
        <v>1591</v>
      </c>
      <c r="B29" s="1242" t="s">
        <v>1592</v>
      </c>
      <c r="C29" s="613"/>
      <c r="D29" s="613"/>
      <c r="E29" s="613"/>
      <c r="F29" s="613"/>
      <c r="G29" s="1243"/>
    </row>
    <row r="30" ht="14.25" customHeight="1">
      <c r="A30" s="1223" t="s">
        <v>1577</v>
      </c>
      <c r="B30" s="561"/>
      <c r="C30" s="561"/>
      <c r="D30" s="561"/>
      <c r="E30" s="561"/>
      <c r="F30" s="561"/>
      <c r="G30" s="124"/>
    </row>
    <row r="31" ht="14.25" customHeight="1">
      <c r="A31" s="1244" t="s">
        <v>1584</v>
      </c>
      <c r="B31" s="561"/>
      <c r="C31" s="561"/>
      <c r="D31" s="561"/>
      <c r="E31" s="561"/>
      <c r="F31" s="561"/>
      <c r="G31" s="124"/>
    </row>
    <row r="32" ht="14.25" customHeight="1">
      <c r="A32" s="1245" t="s">
        <v>1593</v>
      </c>
      <c r="B32" s="1246" t="s">
        <v>1594</v>
      </c>
      <c r="C32" s="1247"/>
      <c r="D32" s="1248" t="s">
        <v>1588</v>
      </c>
      <c r="E32" s="1246" t="s">
        <v>1580</v>
      </c>
      <c r="F32" s="1249"/>
      <c r="G32" s="1250"/>
    </row>
    <row r="33" ht="14.25" customHeight="1">
      <c r="A33" s="1251" t="s">
        <v>1595</v>
      </c>
      <c r="B33" s="1252" t="s">
        <v>1596</v>
      </c>
      <c r="C33" s="41"/>
      <c r="D33" s="1253" t="str">
        <f>4.25*3.2</f>
        <v>13.60</v>
      </c>
      <c r="E33" s="1254" t="s">
        <v>1597</v>
      </c>
      <c r="F33" s="854"/>
      <c r="G33" s="855"/>
    </row>
    <row r="34" ht="14.25" customHeight="1">
      <c r="A34" s="1255" t="s">
        <v>1598</v>
      </c>
      <c r="B34" s="1256" t="s">
        <v>1599</v>
      </c>
      <c r="C34" s="41"/>
      <c r="D34" s="1257" t="str">
        <f>3*3</f>
        <v>9.00</v>
      </c>
      <c r="E34" s="1258"/>
      <c r="G34" s="571"/>
    </row>
    <row r="35" ht="14.25" customHeight="1">
      <c r="A35" s="1255" t="s">
        <v>1600</v>
      </c>
      <c r="B35" s="1256" t="s">
        <v>1601</v>
      </c>
      <c r="C35" s="41"/>
      <c r="D35" s="1257" t="str">
        <f t="shared" ref="D35:D36" si="1">(4.25*5.5)</f>
        <v>23.38</v>
      </c>
      <c r="E35" s="1258"/>
      <c r="G35" s="571"/>
    </row>
    <row r="36" ht="14.25" customHeight="1">
      <c r="A36" s="1255" t="s">
        <v>1602</v>
      </c>
      <c r="B36" s="1256" t="s">
        <v>1603</v>
      </c>
      <c r="C36" s="41"/>
      <c r="D36" s="1257" t="str">
        <f t="shared" si="1"/>
        <v>23.38</v>
      </c>
      <c r="E36" s="38"/>
      <c r="F36" s="1259"/>
      <c r="G36" s="1260"/>
    </row>
    <row r="37" ht="14.25" customHeight="1">
      <c r="A37" s="1261"/>
      <c r="B37" s="1262"/>
      <c r="C37" s="1263" t="s">
        <v>1467</v>
      </c>
      <c r="D37" s="1264" t="str">
        <f>SUM(D33:D36)</f>
        <v>69.35</v>
      </c>
      <c r="E37" s="1265"/>
      <c r="F37" s="1266"/>
      <c r="G37" s="1267"/>
    </row>
    <row r="38" ht="14.25" customHeight="1">
      <c r="A38" s="1268"/>
      <c r="B38" s="1269"/>
      <c r="C38" s="1270"/>
      <c r="D38" s="129"/>
      <c r="E38" s="129"/>
      <c r="F38" s="129"/>
      <c r="G38" s="1271"/>
    </row>
    <row r="39" ht="14.25" customHeight="1">
      <c r="A39" s="1199" t="s">
        <v>1604</v>
      </c>
      <c r="B39" s="1200" t="s">
        <v>1605</v>
      </c>
      <c r="C39" s="28"/>
      <c r="D39" s="28"/>
      <c r="E39" s="28"/>
      <c r="F39" s="28"/>
      <c r="G39" s="29"/>
    </row>
    <row r="40" ht="14.25" customHeight="1">
      <c r="A40" s="1207" t="s">
        <v>1577</v>
      </c>
      <c r="B40" s="107"/>
      <c r="C40" s="107"/>
      <c r="D40" s="107"/>
      <c r="E40" s="107"/>
      <c r="F40" s="107"/>
      <c r="G40" s="781"/>
    </row>
    <row r="41" ht="14.25" customHeight="1">
      <c r="A41" s="1272" t="s">
        <v>1606</v>
      </c>
      <c r="B41" s="127"/>
      <c r="C41" s="127"/>
      <c r="D41" s="127"/>
      <c r="E41" s="127"/>
      <c r="F41" s="127"/>
      <c r="G41" s="128"/>
    </row>
    <row r="42" ht="14.25" customHeight="1">
      <c r="A42" s="1268"/>
      <c r="B42" s="1269"/>
      <c r="C42" s="1270"/>
      <c r="D42" s="129"/>
      <c r="E42" s="129"/>
      <c r="F42" s="129"/>
      <c r="G42" s="1271"/>
    </row>
    <row r="43" ht="14.25" customHeight="1">
      <c r="A43" s="1199" t="s">
        <v>1607</v>
      </c>
      <c r="B43" s="1200" t="s">
        <v>1608</v>
      </c>
      <c r="C43" s="28"/>
      <c r="D43" s="28"/>
      <c r="E43" s="28"/>
      <c r="F43" s="28"/>
      <c r="G43" s="29"/>
    </row>
    <row r="44" ht="14.25" customHeight="1">
      <c r="A44" s="1207" t="s">
        <v>1577</v>
      </c>
      <c r="B44" s="107"/>
      <c r="C44" s="107"/>
      <c r="D44" s="107"/>
      <c r="E44" s="107"/>
      <c r="F44" s="107"/>
      <c r="G44" s="781"/>
    </row>
    <row r="45" ht="14.25" customHeight="1">
      <c r="A45" s="1272" t="s">
        <v>1606</v>
      </c>
      <c r="B45" s="127"/>
      <c r="C45" s="127"/>
      <c r="D45" s="127"/>
      <c r="E45" s="127"/>
      <c r="F45" s="127"/>
      <c r="G45" s="128"/>
    </row>
    <row r="46" ht="14.25" customHeight="1">
      <c r="A46" s="1268"/>
      <c r="B46" s="1269"/>
      <c r="C46" s="1270"/>
      <c r="D46" s="129"/>
      <c r="E46" s="129"/>
      <c r="F46" s="129"/>
      <c r="G46" s="1271"/>
    </row>
    <row r="47" ht="14.25" customHeight="1">
      <c r="A47" s="1199" t="s">
        <v>1609</v>
      </c>
      <c r="B47" s="1200" t="s">
        <v>1610</v>
      </c>
      <c r="C47" s="28"/>
      <c r="D47" s="28"/>
      <c r="E47" s="28"/>
      <c r="F47" s="28"/>
      <c r="G47" s="29"/>
    </row>
    <row r="48" ht="14.25" customHeight="1">
      <c r="A48" s="1207" t="s">
        <v>1577</v>
      </c>
      <c r="B48" s="107"/>
      <c r="C48" s="107"/>
      <c r="D48" s="107"/>
      <c r="E48" s="107"/>
      <c r="F48" s="107"/>
      <c r="G48" s="781"/>
    </row>
    <row r="49" ht="14.25" customHeight="1">
      <c r="A49" s="1244" t="s">
        <v>1584</v>
      </c>
      <c r="B49" s="561"/>
      <c r="C49" s="561"/>
      <c r="D49" s="561"/>
      <c r="E49" s="561"/>
      <c r="F49" s="561"/>
      <c r="G49" s="124"/>
    </row>
    <row r="50" ht="14.25" customHeight="1">
      <c r="A50" s="1245" t="s">
        <v>1585</v>
      </c>
      <c r="B50" s="1246" t="s">
        <v>1586</v>
      </c>
      <c r="C50" s="1247"/>
      <c r="D50" s="1248" t="s">
        <v>1588</v>
      </c>
      <c r="E50" s="1246" t="s">
        <v>1580</v>
      </c>
      <c r="F50" s="1249"/>
      <c r="G50" s="1250"/>
    </row>
    <row r="51" ht="14.25" customHeight="1">
      <c r="A51" s="1273" t="s">
        <v>1589</v>
      </c>
      <c r="B51" s="1274" t="str">
        <f>69.39+82.84+45.25</f>
        <v>197.48</v>
      </c>
      <c r="C51" s="41"/>
      <c r="D51" s="1275">
        <v>1570.0</v>
      </c>
      <c r="E51" s="1232" t="s">
        <v>1611</v>
      </c>
      <c r="F51" s="561"/>
      <c r="G51" s="124"/>
    </row>
    <row r="52" ht="14.25" customHeight="1">
      <c r="A52" s="1276"/>
      <c r="B52" s="1277"/>
      <c r="C52" s="1277"/>
      <c r="D52" s="1277"/>
      <c r="E52" s="1277"/>
      <c r="F52" s="1277"/>
      <c r="G52" s="1278"/>
    </row>
    <row r="53" ht="14.25" customHeight="1">
      <c r="A53" s="1199" t="s">
        <v>1612</v>
      </c>
      <c r="B53" s="1200" t="s">
        <v>1613</v>
      </c>
      <c r="C53" s="28"/>
      <c r="D53" s="28"/>
      <c r="E53" s="28"/>
      <c r="F53" s="28"/>
      <c r="G53" s="29"/>
    </row>
    <row r="54" ht="14.25" customHeight="1">
      <c r="A54" s="1223" t="s">
        <v>1577</v>
      </c>
      <c r="B54" s="561"/>
      <c r="C54" s="561"/>
      <c r="D54" s="561"/>
      <c r="E54" s="561"/>
      <c r="F54" s="561"/>
      <c r="G54" s="124"/>
    </row>
    <row r="55" ht="14.25" customHeight="1">
      <c r="A55" s="1272" t="s">
        <v>1614</v>
      </c>
      <c r="B55" s="127"/>
      <c r="C55" s="127"/>
      <c r="D55" s="127"/>
      <c r="E55" s="127"/>
      <c r="F55" s="127"/>
      <c r="G55" s="128"/>
    </row>
    <row r="56" ht="14.25" customHeight="1">
      <c r="A56" s="1279"/>
      <c r="B56" s="1280"/>
      <c r="C56" s="1270"/>
      <c r="D56" s="129"/>
      <c r="E56" s="129"/>
      <c r="F56" s="129"/>
      <c r="G56" s="1271"/>
    </row>
    <row r="57" ht="14.25" customHeight="1">
      <c r="A57" s="1199" t="s">
        <v>1615</v>
      </c>
      <c r="B57" s="1200" t="s">
        <v>1616</v>
      </c>
      <c r="C57" s="28"/>
      <c r="D57" s="28"/>
      <c r="E57" s="28"/>
      <c r="F57" s="28"/>
      <c r="G57" s="29"/>
    </row>
    <row r="58" ht="14.25" customHeight="1">
      <c r="A58" s="1199" t="s">
        <v>50</v>
      </c>
      <c r="B58" s="1200" t="s">
        <v>1617</v>
      </c>
      <c r="C58" s="28"/>
      <c r="D58" s="28"/>
      <c r="E58" s="28"/>
      <c r="F58" s="28"/>
      <c r="G58" s="29"/>
    </row>
    <row r="59" ht="14.25" customHeight="1">
      <c r="A59" s="1281" t="s">
        <v>1577</v>
      </c>
      <c r="B59" s="1259"/>
      <c r="C59" s="1259"/>
      <c r="D59" s="1259"/>
      <c r="E59" s="1259"/>
      <c r="F59" s="1259"/>
      <c r="G59" s="1260"/>
    </row>
    <row r="60" ht="14.25" customHeight="1">
      <c r="A60" s="1208" t="s">
        <v>1618</v>
      </c>
      <c r="B60" s="561"/>
      <c r="C60" s="561"/>
      <c r="D60" s="561"/>
      <c r="E60" s="561"/>
      <c r="F60" s="561"/>
      <c r="G60" s="124"/>
    </row>
    <row r="61" ht="14.25" customHeight="1">
      <c r="A61" s="1225" t="s">
        <v>1593</v>
      </c>
      <c r="B61" s="1226" t="s">
        <v>1619</v>
      </c>
      <c r="C61" s="1226" t="s">
        <v>1587</v>
      </c>
      <c r="D61" s="1226" t="s">
        <v>1620</v>
      </c>
      <c r="E61" s="1226" t="s">
        <v>1621</v>
      </c>
      <c r="F61" s="1228" t="s">
        <v>1622</v>
      </c>
      <c r="G61" s="124"/>
    </row>
    <row r="62" ht="14.25" customHeight="1">
      <c r="A62" s="1282" t="s">
        <v>292</v>
      </c>
      <c r="B62" s="1230">
        <v>1.5</v>
      </c>
      <c r="C62" s="1283">
        <v>2.45</v>
      </c>
      <c r="D62" s="1283" t="str">
        <f>ROUNDUP(B62*C62,2)</f>
        <v>3.68</v>
      </c>
      <c r="E62" s="1283">
        <v>1.0</v>
      </c>
      <c r="F62" s="1284" t="str">
        <f>E62*D62</f>
        <v>3.68</v>
      </c>
      <c r="G62" s="124"/>
    </row>
    <row r="63" ht="14.25" customHeight="1">
      <c r="A63" s="1285" t="s">
        <v>1623</v>
      </c>
      <c r="B63" s="127"/>
      <c r="C63" s="127"/>
      <c r="D63" s="127"/>
      <c r="E63" s="127"/>
      <c r="F63" s="712"/>
      <c r="G63" s="1286" t="str">
        <f>ROUNDUP(F62,2)</f>
        <v>3.68</v>
      </c>
    </row>
    <row r="64" ht="14.25" customHeight="1">
      <c r="A64" s="1287"/>
      <c r="B64" s="1288"/>
      <c r="C64" s="1289"/>
      <c r="D64" s="1289"/>
      <c r="E64" s="1289"/>
      <c r="F64" s="1289"/>
      <c r="G64" s="1290"/>
    </row>
    <row r="65" ht="14.25" customHeight="1">
      <c r="A65" s="1199" t="s">
        <v>54</v>
      </c>
      <c r="B65" s="1200" t="s">
        <v>1624</v>
      </c>
      <c r="C65" s="28"/>
      <c r="D65" s="28"/>
      <c r="E65" s="28"/>
      <c r="F65" s="28"/>
      <c r="G65" s="29"/>
    </row>
    <row r="66" ht="14.25" customHeight="1">
      <c r="A66" s="1281" t="s">
        <v>1577</v>
      </c>
      <c r="B66" s="1259"/>
      <c r="C66" s="1259"/>
      <c r="D66" s="1259"/>
      <c r="E66" s="1259"/>
      <c r="F66" s="1259"/>
      <c r="G66" s="1260"/>
    </row>
    <row r="67" ht="14.25" customHeight="1">
      <c r="A67" s="1208" t="s">
        <v>1618</v>
      </c>
      <c r="B67" s="561"/>
      <c r="C67" s="561"/>
      <c r="D67" s="561"/>
      <c r="E67" s="561"/>
      <c r="F67" s="561"/>
      <c r="G67" s="124"/>
    </row>
    <row r="68" ht="14.25" customHeight="1">
      <c r="A68" s="1225" t="s">
        <v>1593</v>
      </c>
      <c r="B68" s="1226" t="s">
        <v>1619</v>
      </c>
      <c r="C68" s="1226" t="s">
        <v>1587</v>
      </c>
      <c r="D68" s="1226" t="s">
        <v>1620</v>
      </c>
      <c r="E68" s="1226" t="s">
        <v>1621</v>
      </c>
      <c r="F68" s="1228" t="s">
        <v>1622</v>
      </c>
      <c r="G68" s="124"/>
    </row>
    <row r="69" ht="14.25" customHeight="1">
      <c r="A69" s="1282" t="s">
        <v>296</v>
      </c>
      <c r="B69" s="1230">
        <v>3.9</v>
      </c>
      <c r="C69" s="1283">
        <v>2.45</v>
      </c>
      <c r="D69" s="1283" t="str">
        <f>ROUNDUP(B69*C69,2)</f>
        <v>9.56</v>
      </c>
      <c r="E69" s="1283">
        <v>1.0</v>
      </c>
      <c r="F69" s="1284" t="str">
        <f>E69*D69</f>
        <v>9.56</v>
      </c>
      <c r="G69" s="124"/>
    </row>
    <row r="70" ht="14.25" customHeight="1">
      <c r="A70" s="1285" t="s">
        <v>1623</v>
      </c>
      <c r="B70" s="127"/>
      <c r="C70" s="127"/>
      <c r="D70" s="127"/>
      <c r="E70" s="127"/>
      <c r="F70" s="712"/>
      <c r="G70" s="1286" t="str">
        <f>ROUNDUP(F69,2)</f>
        <v>9.56</v>
      </c>
    </row>
    <row r="71" ht="14.25" customHeight="1">
      <c r="A71" s="1287"/>
      <c r="B71" s="1288"/>
      <c r="C71" s="1289"/>
      <c r="D71" s="1289"/>
      <c r="E71" s="1289"/>
      <c r="F71" s="1289"/>
      <c r="G71" s="1290"/>
    </row>
    <row r="72" ht="14.25" customHeight="1">
      <c r="A72" s="1199" t="s">
        <v>1625</v>
      </c>
      <c r="B72" s="1200" t="s">
        <v>863</v>
      </c>
      <c r="C72" s="28"/>
      <c r="D72" s="28"/>
      <c r="E72" s="28"/>
      <c r="F72" s="28"/>
      <c r="G72" s="29"/>
    </row>
    <row r="73" ht="14.25" customHeight="1">
      <c r="A73" s="1199" t="s">
        <v>89</v>
      </c>
      <c r="B73" s="1200" t="s">
        <v>1626</v>
      </c>
      <c r="C73" s="28"/>
      <c r="D73" s="28"/>
      <c r="E73" s="28"/>
      <c r="F73" s="28"/>
      <c r="G73" s="29"/>
    </row>
    <row r="74" ht="14.25" customHeight="1">
      <c r="A74" s="1207" t="s">
        <v>1577</v>
      </c>
      <c r="B74" s="107"/>
      <c r="C74" s="107"/>
      <c r="D74" s="107"/>
      <c r="E74" s="107"/>
      <c r="F74" s="107"/>
      <c r="G74" s="781"/>
    </row>
    <row r="75" ht="14.25" customHeight="1">
      <c r="A75" s="1244" t="s">
        <v>1627</v>
      </c>
      <c r="B75" s="561"/>
      <c r="C75" s="561"/>
      <c r="D75" s="561"/>
      <c r="E75" s="561"/>
      <c r="F75" s="561"/>
      <c r="G75" s="124"/>
    </row>
    <row r="76" ht="14.25" customHeight="1">
      <c r="A76" s="1291" t="s">
        <v>1593</v>
      </c>
      <c r="B76" s="41"/>
      <c r="C76" s="1292" t="s">
        <v>1628</v>
      </c>
      <c r="D76" s="1292" t="s">
        <v>1622</v>
      </c>
      <c r="E76" s="1293" t="s">
        <v>1580</v>
      </c>
      <c r="F76" s="561"/>
      <c r="G76" s="124"/>
    </row>
    <row r="77" ht="24.0" customHeight="1">
      <c r="A77" s="1294" t="s">
        <v>1629</v>
      </c>
      <c r="B77" s="41"/>
      <c r="C77" s="1295" t="s">
        <v>1630</v>
      </c>
      <c r="D77" s="1296" t="str">
        <f>799.23+13.7+77.85</f>
        <v>890.78</v>
      </c>
      <c r="E77" s="1297" t="s">
        <v>1631</v>
      </c>
      <c r="F77" s="854"/>
      <c r="G77" s="855"/>
    </row>
    <row r="78" ht="14.25" customHeight="1">
      <c r="A78" s="1285" t="s">
        <v>1623</v>
      </c>
      <c r="B78" s="127"/>
      <c r="C78" s="712"/>
      <c r="D78" s="1298" t="str">
        <f>SUM(D77)</f>
        <v>890.78</v>
      </c>
      <c r="E78" s="1299"/>
      <c r="F78" s="127"/>
      <c r="G78" s="128"/>
    </row>
    <row r="79" ht="14.25" customHeight="1">
      <c r="A79" s="1281"/>
      <c r="B79" s="1300"/>
      <c r="C79" s="1300"/>
      <c r="D79" s="1300"/>
      <c r="E79" s="1300"/>
      <c r="F79" s="1300"/>
      <c r="G79" s="1301"/>
    </row>
    <row r="80" ht="14.25" customHeight="1">
      <c r="A80" s="1199" t="s">
        <v>91</v>
      </c>
      <c r="B80" s="1200" t="s">
        <v>1632</v>
      </c>
      <c r="C80" s="28"/>
      <c r="D80" s="28"/>
      <c r="E80" s="28"/>
      <c r="F80" s="28"/>
      <c r="G80" s="29"/>
    </row>
    <row r="81" ht="14.25" customHeight="1">
      <c r="A81" s="1207" t="s">
        <v>1577</v>
      </c>
      <c r="B81" s="107"/>
      <c r="C81" s="107"/>
      <c r="D81" s="107"/>
      <c r="E81" s="107"/>
      <c r="F81" s="107"/>
      <c r="G81" s="781"/>
    </row>
    <row r="82" ht="14.25" customHeight="1">
      <c r="A82" s="1244" t="s">
        <v>1627</v>
      </c>
      <c r="B82" s="561"/>
      <c r="C82" s="561"/>
      <c r="D82" s="561"/>
      <c r="E82" s="561"/>
      <c r="F82" s="561"/>
      <c r="G82" s="124"/>
    </row>
    <row r="83" ht="14.25" customHeight="1">
      <c r="A83" s="1291" t="s">
        <v>1593</v>
      </c>
      <c r="B83" s="41"/>
      <c r="C83" s="1292" t="s">
        <v>1633</v>
      </c>
      <c r="D83" s="1292" t="s">
        <v>1634</v>
      </c>
      <c r="E83" s="1293" t="s">
        <v>1580</v>
      </c>
      <c r="F83" s="561"/>
      <c r="G83" s="124"/>
    </row>
    <row r="84" ht="24.0" customHeight="1">
      <c r="A84" s="1294" t="s">
        <v>1635</v>
      </c>
      <c r="B84" s="41"/>
      <c r="C84" s="1295" t="s">
        <v>1636</v>
      </c>
      <c r="D84" s="1296" t="str">
        <f>77.35+43.13+74.39</f>
        <v>194.87</v>
      </c>
      <c r="E84" s="1297"/>
      <c r="F84" s="854"/>
      <c r="G84" s="855"/>
    </row>
    <row r="85" ht="14.25" customHeight="1">
      <c r="A85" s="1285" t="s">
        <v>1623</v>
      </c>
      <c r="B85" s="127"/>
      <c r="C85" s="712"/>
      <c r="D85" s="1298" t="str">
        <f>SUM(D84)</f>
        <v>194.87</v>
      </c>
      <c r="E85" s="1299"/>
      <c r="F85" s="127"/>
      <c r="G85" s="128"/>
    </row>
    <row r="86" ht="14.25" customHeight="1">
      <c r="A86" s="1302"/>
      <c r="B86" s="1303"/>
      <c r="C86" s="1303"/>
      <c r="D86" s="1238"/>
      <c r="E86" s="1304"/>
      <c r="F86" s="1304"/>
      <c r="G86" s="1305"/>
    </row>
    <row r="87" ht="14.25" customHeight="1">
      <c r="A87" s="1199" t="s">
        <v>93</v>
      </c>
      <c r="B87" s="1200" t="s">
        <v>1637</v>
      </c>
      <c r="C87" s="28"/>
      <c r="D87" s="28"/>
      <c r="E87" s="28"/>
      <c r="F87" s="28"/>
      <c r="G87" s="29"/>
    </row>
    <row r="88" ht="14.25" customHeight="1">
      <c r="A88" s="1281" t="s">
        <v>1577</v>
      </c>
      <c r="B88" s="1259"/>
      <c r="C88" s="1259"/>
      <c r="D88" s="1259"/>
      <c r="E88" s="1259"/>
      <c r="F88" s="1259"/>
      <c r="G88" s="1260"/>
    </row>
    <row r="89" ht="14.25" customHeight="1">
      <c r="A89" s="1244" t="s">
        <v>1627</v>
      </c>
      <c r="B89" s="561"/>
      <c r="C89" s="561"/>
      <c r="D89" s="561"/>
      <c r="E89" s="561"/>
      <c r="F89" s="561"/>
      <c r="G89" s="124"/>
    </row>
    <row r="90" ht="14.25" customHeight="1">
      <c r="A90" s="1306" t="s">
        <v>1593</v>
      </c>
      <c r="B90" s="1292" t="s">
        <v>1579</v>
      </c>
      <c r="C90" s="1292" t="s">
        <v>1638</v>
      </c>
      <c r="D90" s="1292" t="s">
        <v>1622</v>
      </c>
      <c r="E90" s="1293" t="s">
        <v>1580</v>
      </c>
      <c r="F90" s="561"/>
      <c r="G90" s="124"/>
    </row>
    <row r="91" ht="14.25" customHeight="1">
      <c r="A91" s="1282" t="s">
        <v>1639</v>
      </c>
      <c r="B91" s="1230" t="s">
        <v>1640</v>
      </c>
      <c r="C91" s="1230" t="str">
        <f>34.36+98.66+15.52</f>
        <v>148.54</v>
      </c>
      <c r="D91" s="1283" t="str">
        <f>ROUNDUP(C91,2)</f>
        <v>148.54</v>
      </c>
      <c r="E91" s="1307" t="s">
        <v>1641</v>
      </c>
      <c r="F91" s="854"/>
      <c r="G91" s="855"/>
    </row>
    <row r="92" ht="14.25" customHeight="1">
      <c r="A92" s="1285" t="s">
        <v>1623</v>
      </c>
      <c r="B92" s="127"/>
      <c r="C92" s="687"/>
      <c r="D92" s="1298" t="str">
        <f>ROUNDUP(D91,2)</f>
        <v>148.54</v>
      </c>
      <c r="E92" s="1299"/>
      <c r="F92" s="127"/>
      <c r="G92" s="128"/>
    </row>
    <row r="93" ht="14.25" customHeight="1">
      <c r="A93" s="1183"/>
      <c r="B93" s="1184"/>
      <c r="C93" s="1184"/>
      <c r="D93" s="1184"/>
      <c r="E93" s="1184"/>
      <c r="F93" s="1184"/>
      <c r="G93" s="1185"/>
    </row>
    <row r="94" ht="14.25" customHeight="1">
      <c r="A94" s="1199" t="s">
        <v>1642</v>
      </c>
      <c r="B94" s="1200" t="s">
        <v>1643</v>
      </c>
      <c r="C94" s="28"/>
      <c r="D94" s="28"/>
      <c r="E94" s="28"/>
      <c r="F94" s="28"/>
      <c r="G94" s="29"/>
    </row>
    <row r="95" ht="14.25" customHeight="1">
      <c r="A95" s="1281" t="s">
        <v>1577</v>
      </c>
      <c r="B95" s="1259"/>
      <c r="C95" s="1259"/>
      <c r="D95" s="1259"/>
      <c r="E95" s="1259"/>
      <c r="F95" s="1259"/>
      <c r="G95" s="1260"/>
    </row>
    <row r="96" ht="14.25" customHeight="1">
      <c r="A96" s="1244" t="s">
        <v>1627</v>
      </c>
      <c r="B96" s="561"/>
      <c r="C96" s="561"/>
      <c r="D96" s="561"/>
      <c r="E96" s="561"/>
      <c r="F96" s="561"/>
      <c r="G96" s="124"/>
    </row>
    <row r="97" ht="14.25" customHeight="1">
      <c r="A97" s="1306" t="s">
        <v>1593</v>
      </c>
      <c r="B97" s="1292" t="s">
        <v>1579</v>
      </c>
      <c r="C97" s="1292" t="s">
        <v>1638</v>
      </c>
      <c r="D97" s="1292" t="s">
        <v>1622</v>
      </c>
      <c r="E97" s="1293" t="s">
        <v>1580</v>
      </c>
      <c r="F97" s="561"/>
      <c r="G97" s="124"/>
    </row>
    <row r="98" ht="14.25" customHeight="1">
      <c r="A98" s="1282" t="s">
        <v>1644</v>
      </c>
      <c r="B98" s="1230" t="s">
        <v>1645</v>
      </c>
      <c r="C98" s="1230" t="str">
        <f>34.36+98.66</f>
        <v>133.02</v>
      </c>
      <c r="D98" s="1283" t="str">
        <f>ROUNDUP(C98,2)</f>
        <v>133.02</v>
      </c>
      <c r="E98" s="1307" t="s">
        <v>1641</v>
      </c>
      <c r="F98" s="854"/>
      <c r="G98" s="855"/>
    </row>
    <row r="99" ht="14.25" customHeight="1">
      <c r="A99" s="1285" t="s">
        <v>1623</v>
      </c>
      <c r="B99" s="127"/>
      <c r="C99" s="687"/>
      <c r="D99" s="1298" t="str">
        <f>ROUNDUP(D98,2)</f>
        <v>133.02</v>
      </c>
      <c r="E99" s="1299"/>
      <c r="F99" s="127"/>
      <c r="G99" s="128"/>
    </row>
    <row r="100" ht="14.25" customHeight="1">
      <c r="A100" s="1308"/>
      <c r="B100" s="28"/>
      <c r="C100" s="28"/>
      <c r="D100" s="28"/>
      <c r="E100" s="28"/>
      <c r="F100" s="28"/>
      <c r="G100" s="29"/>
    </row>
    <row r="101" ht="14.25" customHeight="1">
      <c r="A101" s="1199" t="s">
        <v>1646</v>
      </c>
      <c r="B101" s="1200" t="s">
        <v>1647</v>
      </c>
      <c r="C101" s="28"/>
      <c r="D101" s="28"/>
      <c r="E101" s="28"/>
      <c r="F101" s="28"/>
      <c r="G101" s="29"/>
    </row>
    <row r="102" ht="14.25" customHeight="1">
      <c r="A102" s="1281" t="s">
        <v>1577</v>
      </c>
      <c r="B102" s="1259"/>
      <c r="C102" s="1259"/>
      <c r="D102" s="1259"/>
      <c r="E102" s="1259"/>
      <c r="F102" s="1259"/>
      <c r="G102" s="1260"/>
    </row>
    <row r="103" ht="14.25" customHeight="1">
      <c r="A103" s="1244" t="s">
        <v>1627</v>
      </c>
      <c r="B103" s="561"/>
      <c r="C103" s="561"/>
      <c r="D103" s="561"/>
      <c r="E103" s="561"/>
      <c r="F103" s="561"/>
      <c r="G103" s="124"/>
    </row>
    <row r="104" ht="14.25" customHeight="1">
      <c r="A104" s="1306" t="s">
        <v>1593</v>
      </c>
      <c r="B104" s="1292" t="s">
        <v>1579</v>
      </c>
      <c r="C104" s="1292" t="s">
        <v>1638</v>
      </c>
      <c r="D104" s="1292" t="s">
        <v>1622</v>
      </c>
      <c r="E104" s="1293" t="s">
        <v>1580</v>
      </c>
      <c r="F104" s="561"/>
      <c r="G104" s="124"/>
    </row>
    <row r="105" ht="14.25" customHeight="1">
      <c r="A105" s="1282" t="s">
        <v>1648</v>
      </c>
      <c r="B105" s="1230">
        <v>15.52</v>
      </c>
      <c r="C105" s="1230">
        <v>15.52</v>
      </c>
      <c r="D105" s="1283" t="str">
        <f>ROUNDUP(C105,2)</f>
        <v>15.52</v>
      </c>
      <c r="E105" s="1307"/>
      <c r="F105" s="854"/>
      <c r="G105" s="855"/>
    </row>
    <row r="106" ht="14.25" customHeight="1">
      <c r="A106" s="1285" t="s">
        <v>1623</v>
      </c>
      <c r="B106" s="127"/>
      <c r="C106" s="687"/>
      <c r="D106" s="1298" t="str">
        <f>ROUNDUP(D105,2)</f>
        <v>15.52</v>
      </c>
      <c r="E106" s="1299"/>
      <c r="F106" s="127"/>
      <c r="G106" s="128"/>
    </row>
    <row r="107" ht="14.25" customHeight="1">
      <c r="A107" s="1183"/>
      <c r="B107" s="1184"/>
      <c r="C107" s="1184"/>
      <c r="D107" s="1184"/>
      <c r="E107" s="1184"/>
      <c r="F107" s="1184"/>
      <c r="G107" s="1185"/>
    </row>
    <row r="108" ht="14.25" customHeight="1">
      <c r="A108" s="1199" t="s">
        <v>1649</v>
      </c>
      <c r="B108" s="1200" t="s">
        <v>1650</v>
      </c>
      <c r="C108" s="28"/>
      <c r="D108" s="28"/>
      <c r="E108" s="28"/>
      <c r="F108" s="28"/>
      <c r="G108" s="29"/>
    </row>
    <row r="109" ht="14.25" customHeight="1">
      <c r="A109" s="1281" t="s">
        <v>1577</v>
      </c>
      <c r="B109" s="1259"/>
      <c r="C109" s="1259"/>
      <c r="D109" s="1259"/>
      <c r="E109" s="1259"/>
      <c r="F109" s="1259"/>
      <c r="G109" s="1260"/>
    </row>
    <row r="110" ht="14.25" customHeight="1">
      <c r="A110" s="1244" t="s">
        <v>1627</v>
      </c>
      <c r="B110" s="561"/>
      <c r="C110" s="561"/>
      <c r="D110" s="561"/>
      <c r="E110" s="561"/>
      <c r="F110" s="561"/>
      <c r="G110" s="124"/>
    </row>
    <row r="111" ht="14.25" customHeight="1">
      <c r="A111" s="1306" t="s">
        <v>1593</v>
      </c>
      <c r="B111" s="1293" t="s">
        <v>1651</v>
      </c>
      <c r="C111" s="41"/>
      <c r="D111" s="1293" t="s">
        <v>1580</v>
      </c>
      <c r="E111" s="561"/>
      <c r="F111" s="561"/>
      <c r="G111" s="124"/>
    </row>
    <row r="112" ht="14.25" customHeight="1">
      <c r="A112" s="1282" t="s">
        <v>1652</v>
      </c>
      <c r="B112" s="1274">
        <v>9.0</v>
      </c>
      <c r="C112" s="41"/>
      <c r="D112" s="1309"/>
      <c r="E112" s="561"/>
      <c r="F112" s="561"/>
      <c r="G112" s="124"/>
    </row>
    <row r="113" ht="14.25" customHeight="1">
      <c r="A113" s="1310" t="s">
        <v>1623</v>
      </c>
      <c r="B113" s="1311" t="str">
        <f>SUM(B112)</f>
        <v>9.00</v>
      </c>
      <c r="C113" s="712"/>
      <c r="D113" s="1265"/>
      <c r="E113" s="1266"/>
      <c r="F113" s="1266"/>
      <c r="G113" s="1267"/>
    </row>
    <row r="114" ht="14.25" customHeight="1">
      <c r="A114" s="1183"/>
      <c r="B114" s="1184"/>
      <c r="C114" s="1184"/>
      <c r="D114" s="1184"/>
      <c r="E114" s="1184"/>
      <c r="F114" s="1184"/>
      <c r="G114" s="1185"/>
    </row>
    <row r="115" ht="14.25" customHeight="1">
      <c r="A115" s="1199" t="s">
        <v>1653</v>
      </c>
      <c r="B115" s="1200" t="s">
        <v>1654</v>
      </c>
      <c r="C115" s="28"/>
      <c r="D115" s="28"/>
      <c r="E115" s="28"/>
      <c r="F115" s="28"/>
      <c r="G115" s="29"/>
    </row>
    <row r="116" ht="14.25" customHeight="1">
      <c r="A116" s="1281" t="s">
        <v>1577</v>
      </c>
      <c r="B116" s="1259"/>
      <c r="C116" s="1259"/>
      <c r="D116" s="1259"/>
      <c r="E116" s="1259"/>
      <c r="F116" s="1259"/>
      <c r="G116" s="1260"/>
    </row>
    <row r="117" ht="14.25" customHeight="1">
      <c r="A117" s="1244" t="s">
        <v>1627</v>
      </c>
      <c r="B117" s="561"/>
      <c r="C117" s="561"/>
      <c r="D117" s="561"/>
      <c r="E117" s="561"/>
      <c r="F117" s="561"/>
      <c r="G117" s="124"/>
    </row>
    <row r="118" ht="14.25" customHeight="1">
      <c r="A118" s="1306" t="s">
        <v>1593</v>
      </c>
      <c r="B118" s="1293" t="s">
        <v>1651</v>
      </c>
      <c r="C118" s="41"/>
      <c r="D118" s="1293" t="s">
        <v>1580</v>
      </c>
      <c r="E118" s="561"/>
      <c r="F118" s="561"/>
      <c r="G118" s="124"/>
    </row>
    <row r="119" ht="14.25" customHeight="1">
      <c r="A119" s="1282" t="s">
        <v>1652</v>
      </c>
      <c r="B119" s="1274">
        <v>6.0</v>
      </c>
      <c r="C119" s="41"/>
      <c r="D119" s="1309"/>
      <c r="E119" s="561"/>
      <c r="F119" s="561"/>
      <c r="G119" s="124"/>
    </row>
    <row r="120" ht="14.25" customHeight="1">
      <c r="A120" s="1310" t="s">
        <v>1623</v>
      </c>
      <c r="B120" s="1311" t="str">
        <f>SUM(B119)</f>
        <v>6.00</v>
      </c>
      <c r="C120" s="712"/>
      <c r="D120" s="1265"/>
      <c r="E120" s="1266"/>
      <c r="F120" s="1266"/>
      <c r="G120" s="1267"/>
    </row>
    <row r="121" ht="14.25" customHeight="1">
      <c r="A121" s="1312"/>
      <c r="B121" s="1313"/>
      <c r="C121" s="1313"/>
      <c r="D121" s="1314"/>
      <c r="E121" s="1314"/>
      <c r="F121" s="1314"/>
      <c r="G121" s="1315"/>
    </row>
    <row r="122" ht="14.25" customHeight="1">
      <c r="A122" s="1308"/>
      <c r="B122" s="28"/>
      <c r="C122" s="28"/>
      <c r="D122" s="28"/>
      <c r="E122" s="28"/>
      <c r="F122" s="28"/>
      <c r="G122" s="29"/>
    </row>
    <row r="123" ht="14.25" customHeight="1">
      <c r="A123" s="1199" t="s">
        <v>1655</v>
      </c>
      <c r="B123" s="1200" t="s">
        <v>1656</v>
      </c>
      <c r="C123" s="28"/>
      <c r="D123" s="28"/>
      <c r="E123" s="28"/>
      <c r="F123" s="28"/>
      <c r="G123" s="29"/>
    </row>
    <row r="124" ht="14.25" customHeight="1">
      <c r="A124" s="1223" t="s">
        <v>1577</v>
      </c>
      <c r="B124" s="561"/>
      <c r="C124" s="561"/>
      <c r="D124" s="561"/>
      <c r="E124" s="561"/>
      <c r="F124" s="561"/>
      <c r="G124" s="124"/>
    </row>
    <row r="125" ht="14.25" customHeight="1">
      <c r="A125" s="1244" t="s">
        <v>1627</v>
      </c>
      <c r="B125" s="561"/>
      <c r="C125" s="561"/>
      <c r="D125" s="561"/>
      <c r="E125" s="561"/>
      <c r="F125" s="561"/>
      <c r="G125" s="124"/>
    </row>
    <row r="126" ht="14.25" customHeight="1">
      <c r="A126" s="1316" t="s">
        <v>1633</v>
      </c>
      <c r="B126" s="1211" t="s">
        <v>1657</v>
      </c>
      <c r="C126" s="1211" t="s">
        <v>1587</v>
      </c>
      <c r="D126" s="1211" t="s">
        <v>1658</v>
      </c>
      <c r="E126" s="1317" t="s">
        <v>1638</v>
      </c>
      <c r="F126" s="1318" t="s">
        <v>1580</v>
      </c>
      <c r="G126" s="1319"/>
    </row>
    <row r="127" ht="14.25" customHeight="1">
      <c r="A127" s="1282" t="s">
        <v>1659</v>
      </c>
      <c r="B127" s="1320" t="str">
        <f>45.25+82.67+69.02</f>
        <v>196.94</v>
      </c>
      <c r="C127" s="1257">
        <v>0.4</v>
      </c>
      <c r="D127" s="1321" t="str">
        <f>(3.9*0.4)+(1.5*0.4)</f>
        <v>2.16</v>
      </c>
      <c r="E127" s="1322" t="str">
        <f>((B127*0.4))-D127</f>
        <v>76.62</v>
      </c>
      <c r="F127" s="1323"/>
      <c r="G127" s="571"/>
    </row>
    <row r="128" ht="14.25" customHeight="1">
      <c r="A128" s="1324"/>
      <c r="B128" s="127"/>
      <c r="C128" s="712"/>
      <c r="D128" s="1325" t="s">
        <v>1623</v>
      </c>
      <c r="E128" s="1326" t="str">
        <f>E127</f>
        <v>76.62</v>
      </c>
      <c r="F128" s="1327"/>
      <c r="G128" s="1328"/>
    </row>
    <row r="129" ht="14.25" customHeight="1">
      <c r="A129" s="1312"/>
      <c r="B129" s="1313"/>
      <c r="C129" s="1313"/>
      <c r="D129" s="1314"/>
      <c r="E129" s="1314"/>
      <c r="F129" s="1314"/>
      <c r="G129" s="1315"/>
    </row>
    <row r="130" ht="14.25" customHeight="1">
      <c r="A130" s="1199" t="s">
        <v>1660</v>
      </c>
      <c r="B130" s="1200" t="s">
        <v>1661</v>
      </c>
      <c r="C130" s="28"/>
      <c r="D130" s="28"/>
      <c r="E130" s="28"/>
      <c r="F130" s="28"/>
      <c r="G130" s="29"/>
    </row>
    <row r="131" ht="14.25" customHeight="1">
      <c r="A131" s="1223" t="s">
        <v>1577</v>
      </c>
      <c r="B131" s="561"/>
      <c r="C131" s="561"/>
      <c r="D131" s="561"/>
      <c r="E131" s="561"/>
      <c r="F131" s="561"/>
      <c r="G131" s="124"/>
    </row>
    <row r="132" ht="14.25" customHeight="1">
      <c r="A132" s="1244" t="s">
        <v>1627</v>
      </c>
      <c r="B132" s="561"/>
      <c r="C132" s="561"/>
      <c r="D132" s="561"/>
      <c r="E132" s="561"/>
      <c r="F132" s="561"/>
      <c r="G132" s="124"/>
    </row>
    <row r="133" ht="14.25" customHeight="1">
      <c r="A133" s="1316" t="s">
        <v>1633</v>
      </c>
      <c r="B133" s="1211" t="s">
        <v>1657</v>
      </c>
      <c r="C133" s="1211" t="s">
        <v>1587</v>
      </c>
      <c r="D133" s="1211" t="s">
        <v>1658</v>
      </c>
      <c r="E133" s="1317" t="s">
        <v>1638</v>
      </c>
      <c r="F133" s="1318" t="s">
        <v>1580</v>
      </c>
      <c r="G133" s="1319"/>
    </row>
    <row r="134" ht="14.25" customHeight="1">
      <c r="A134" s="1282" t="s">
        <v>1662</v>
      </c>
      <c r="B134" s="1320" t="str">
        <f>(45.25+82.67+69.02)*2</f>
        <v>393.88</v>
      </c>
      <c r="C134" s="1257">
        <v>0.4</v>
      </c>
      <c r="D134" s="1321" t="str">
        <f>((3.9*0.4)+(1.5*0.4))*2</f>
        <v>4.32</v>
      </c>
      <c r="E134" s="1322" t="str">
        <f>(B134*C134)-D134</f>
        <v>153.23</v>
      </c>
      <c r="F134" s="1323"/>
      <c r="G134" s="571"/>
    </row>
    <row r="135" ht="14.25" customHeight="1">
      <c r="A135" s="1282" t="s">
        <v>1663</v>
      </c>
      <c r="B135" s="1320" t="str">
        <f>45.25+82.67+69.02</f>
        <v>196.94</v>
      </c>
      <c r="C135" s="1257">
        <v>0.15</v>
      </c>
      <c r="D135" s="1321"/>
      <c r="E135" s="1322" t="str">
        <f>(B135*C135)</f>
        <v>29.54</v>
      </c>
      <c r="F135" s="1323"/>
      <c r="G135" s="571"/>
    </row>
    <row r="136" ht="14.25" customHeight="1">
      <c r="A136" s="1324"/>
      <c r="B136" s="127"/>
      <c r="C136" s="712"/>
      <c r="D136" s="1325" t="s">
        <v>1623</v>
      </c>
      <c r="E136" s="1326" t="str">
        <f>SUM(E134:E135)</f>
        <v>182.77</v>
      </c>
      <c r="F136" s="1327"/>
      <c r="G136" s="1328"/>
    </row>
    <row r="137" ht="14.25" customHeight="1">
      <c r="A137" s="1312"/>
      <c r="B137" s="1313"/>
      <c r="C137" s="1313"/>
      <c r="D137" s="1314"/>
      <c r="E137" s="1314"/>
      <c r="F137" s="1314"/>
      <c r="G137" s="1315"/>
    </row>
    <row r="138" ht="14.25" customHeight="1">
      <c r="A138" s="1199" t="s">
        <v>1664</v>
      </c>
      <c r="B138" s="1200" t="s">
        <v>1665</v>
      </c>
      <c r="C138" s="28"/>
      <c r="D138" s="28"/>
      <c r="E138" s="28"/>
      <c r="F138" s="28"/>
      <c r="G138" s="29"/>
    </row>
    <row r="139" ht="14.25" customHeight="1">
      <c r="A139" s="1223" t="s">
        <v>1577</v>
      </c>
      <c r="B139" s="561"/>
      <c r="C139" s="561"/>
      <c r="D139" s="561"/>
      <c r="E139" s="561"/>
      <c r="F139" s="561"/>
      <c r="G139" s="124"/>
    </row>
    <row r="140" ht="14.25" customHeight="1">
      <c r="A140" s="1244" t="s">
        <v>1627</v>
      </c>
      <c r="B140" s="561"/>
      <c r="C140" s="561"/>
      <c r="D140" s="561"/>
      <c r="E140" s="561"/>
      <c r="F140" s="561"/>
      <c r="G140" s="124"/>
    </row>
    <row r="141" ht="14.25" customHeight="1">
      <c r="A141" s="1316" t="s">
        <v>1633</v>
      </c>
      <c r="B141" s="1211" t="s">
        <v>1657</v>
      </c>
      <c r="C141" s="1211" t="s">
        <v>1587</v>
      </c>
      <c r="D141" s="1211" t="s">
        <v>1658</v>
      </c>
      <c r="E141" s="1317" t="s">
        <v>1638</v>
      </c>
      <c r="F141" s="1318" t="s">
        <v>1580</v>
      </c>
      <c r="G141" s="1319"/>
    </row>
    <row r="142" ht="14.25" customHeight="1">
      <c r="A142" s="1282" t="s">
        <v>1662</v>
      </c>
      <c r="B142" s="1320" t="str">
        <f>(45.25+82.67+69.02)*2</f>
        <v>393.88</v>
      </c>
      <c r="C142" s="1257">
        <v>0.4</v>
      </c>
      <c r="D142" s="1321" t="str">
        <f>((3.9*0.4)+(1.5*0.4))*2</f>
        <v>4.32</v>
      </c>
      <c r="E142" s="1322" t="str">
        <f>(B142*C142)-D142</f>
        <v>153.23</v>
      </c>
      <c r="F142" s="1323"/>
      <c r="G142" s="571"/>
    </row>
    <row r="143" ht="14.25" customHeight="1">
      <c r="A143" s="1282" t="s">
        <v>1663</v>
      </c>
      <c r="B143" s="1320" t="str">
        <f>45.25+82.67+69.02</f>
        <v>196.94</v>
      </c>
      <c r="C143" s="1257">
        <v>0.15</v>
      </c>
      <c r="D143" s="1321"/>
      <c r="E143" s="1322" t="str">
        <f>(B143*C143)</f>
        <v>29.54</v>
      </c>
      <c r="F143" s="1323"/>
      <c r="G143" s="571"/>
    </row>
    <row r="144" ht="14.25" customHeight="1">
      <c r="A144" s="1324"/>
      <c r="B144" s="127"/>
      <c r="C144" s="712"/>
      <c r="D144" s="1325" t="s">
        <v>1623</v>
      </c>
      <c r="E144" s="1326" t="str">
        <f>SUM(E142:E143)</f>
        <v>182.77</v>
      </c>
      <c r="F144" s="1327"/>
      <c r="G144" s="1328"/>
    </row>
    <row r="145" ht="14.25" customHeight="1">
      <c r="A145" s="1312"/>
      <c r="B145" s="1313"/>
      <c r="C145" s="1313"/>
      <c r="D145" s="1314"/>
      <c r="E145" s="1314"/>
      <c r="F145" s="1314"/>
      <c r="G145" s="1315"/>
    </row>
    <row r="146" ht="14.25" customHeight="1">
      <c r="A146" s="1199" t="s">
        <v>1666</v>
      </c>
      <c r="B146" s="1200" t="s">
        <v>1667</v>
      </c>
      <c r="C146" s="28"/>
      <c r="D146" s="28"/>
      <c r="E146" s="28"/>
      <c r="F146" s="28"/>
      <c r="G146" s="29"/>
    </row>
    <row r="147" ht="14.25" customHeight="1">
      <c r="A147" s="1223" t="s">
        <v>1577</v>
      </c>
      <c r="B147" s="561"/>
      <c r="C147" s="561"/>
      <c r="D147" s="561"/>
      <c r="E147" s="561"/>
      <c r="F147" s="561"/>
      <c r="G147" s="124"/>
    </row>
    <row r="148" ht="14.25" customHeight="1">
      <c r="A148" s="1244" t="s">
        <v>1627</v>
      </c>
      <c r="B148" s="561"/>
      <c r="C148" s="561"/>
      <c r="D148" s="561"/>
      <c r="E148" s="561"/>
      <c r="F148" s="561"/>
      <c r="G148" s="124"/>
    </row>
    <row r="149" ht="14.25" customHeight="1">
      <c r="A149" s="1316" t="s">
        <v>1633</v>
      </c>
      <c r="B149" s="1211" t="s">
        <v>1657</v>
      </c>
      <c r="C149" s="1211" t="s">
        <v>1587</v>
      </c>
      <c r="D149" s="1211" t="s">
        <v>1658</v>
      </c>
      <c r="E149" s="1317" t="s">
        <v>1638</v>
      </c>
      <c r="F149" s="1318" t="s">
        <v>1580</v>
      </c>
      <c r="G149" s="1319"/>
    </row>
    <row r="150" ht="14.25" customHeight="1">
      <c r="A150" s="1282" t="s">
        <v>1662</v>
      </c>
      <c r="B150" s="1320" t="str">
        <f>(45.25+82.67+69.02)*2</f>
        <v>393.88</v>
      </c>
      <c r="C150" s="1257">
        <v>0.4</v>
      </c>
      <c r="D150" s="1321" t="str">
        <f>((3.9*0.4)+(1.5*0.4))*2</f>
        <v>4.32</v>
      </c>
      <c r="E150" s="1322" t="str">
        <f>(B150*C150)-D150</f>
        <v>153.23</v>
      </c>
      <c r="F150" s="1323"/>
      <c r="G150" s="571"/>
    </row>
    <row r="151" ht="14.25" customHeight="1">
      <c r="A151" s="1282" t="s">
        <v>1663</v>
      </c>
      <c r="B151" s="1320" t="str">
        <f>45.25+82.67+69.02</f>
        <v>196.94</v>
      </c>
      <c r="C151" s="1257">
        <v>0.15</v>
      </c>
      <c r="D151" s="1321"/>
      <c r="E151" s="1322" t="str">
        <f>(B151*C151)</f>
        <v>29.54</v>
      </c>
      <c r="F151" s="1323"/>
      <c r="G151" s="571"/>
    </row>
    <row r="152" ht="14.25" customHeight="1">
      <c r="A152" s="1324"/>
      <c r="B152" s="127"/>
      <c r="C152" s="712"/>
      <c r="D152" s="1325" t="s">
        <v>1623</v>
      </c>
      <c r="E152" s="1326" t="str">
        <f>SUM(E150:E151)</f>
        <v>182.77</v>
      </c>
      <c r="F152" s="1327"/>
      <c r="G152" s="1328"/>
    </row>
    <row r="153" ht="14.25" customHeight="1">
      <c r="A153" s="1312"/>
      <c r="B153" s="1313"/>
      <c r="C153" s="1313"/>
      <c r="D153" s="1314"/>
      <c r="E153" s="1314"/>
      <c r="F153" s="1314"/>
      <c r="G153" s="1315"/>
    </row>
    <row r="154" ht="14.25" customHeight="1">
      <c r="A154" s="1199" t="s">
        <v>1668</v>
      </c>
      <c r="B154" s="1200" t="s">
        <v>1669</v>
      </c>
      <c r="C154" s="28"/>
      <c r="D154" s="28"/>
      <c r="E154" s="28"/>
      <c r="F154" s="28"/>
      <c r="G154" s="29"/>
    </row>
    <row r="155" ht="14.25" customHeight="1">
      <c r="A155" s="1223" t="s">
        <v>1577</v>
      </c>
      <c r="B155" s="561"/>
      <c r="C155" s="561"/>
      <c r="D155" s="561"/>
      <c r="E155" s="561"/>
      <c r="F155" s="561"/>
      <c r="G155" s="124"/>
    </row>
    <row r="156" ht="14.25" customHeight="1">
      <c r="A156" s="1244" t="s">
        <v>1627</v>
      </c>
      <c r="B156" s="561"/>
      <c r="C156" s="561"/>
      <c r="D156" s="561"/>
      <c r="E156" s="561"/>
      <c r="F156" s="561"/>
      <c r="G156" s="124"/>
    </row>
    <row r="157" ht="14.25" customHeight="1">
      <c r="A157" s="1316" t="s">
        <v>1633</v>
      </c>
      <c r="B157" s="1211" t="s">
        <v>1657</v>
      </c>
      <c r="C157" s="1211" t="s">
        <v>1587</v>
      </c>
      <c r="D157" s="1211" t="s">
        <v>1658</v>
      </c>
      <c r="E157" s="1317" t="s">
        <v>1638</v>
      </c>
      <c r="F157" s="1318" t="s">
        <v>1580</v>
      </c>
      <c r="G157" s="1319"/>
    </row>
    <row r="158" ht="14.25" customHeight="1">
      <c r="A158" s="1282" t="s">
        <v>1662</v>
      </c>
      <c r="B158" s="1320" t="str">
        <f>(45.25+82.67+69.02)*2</f>
        <v>393.88</v>
      </c>
      <c r="C158" s="1257">
        <v>0.4</v>
      </c>
      <c r="D158" s="1321" t="str">
        <f>((3.9*0.4)+(1.5*0.4))*2</f>
        <v>4.32</v>
      </c>
      <c r="E158" s="1322" t="str">
        <f>(B158*C158)-D158</f>
        <v>153.23</v>
      </c>
      <c r="F158" s="1323"/>
      <c r="G158" s="571"/>
    </row>
    <row r="159" ht="14.25" customHeight="1">
      <c r="A159" s="1282" t="s">
        <v>1663</v>
      </c>
      <c r="B159" s="1320" t="str">
        <f>45.25+82.67+69.02</f>
        <v>196.94</v>
      </c>
      <c r="C159" s="1257">
        <v>0.15</v>
      </c>
      <c r="D159" s="1321"/>
      <c r="E159" s="1322" t="str">
        <f>(B159*C159)</f>
        <v>29.54</v>
      </c>
      <c r="F159" s="1323"/>
      <c r="G159" s="571"/>
    </row>
    <row r="160" ht="14.25" customHeight="1">
      <c r="A160" s="1324"/>
      <c r="B160" s="127"/>
      <c r="C160" s="712"/>
      <c r="D160" s="1325" t="s">
        <v>1623</v>
      </c>
      <c r="E160" s="1326" t="str">
        <f>SUM(E158:E159)</f>
        <v>182.77</v>
      </c>
      <c r="F160" s="1327"/>
      <c r="G160" s="1328"/>
    </row>
    <row r="161" ht="14.25" customHeight="1">
      <c r="A161" s="1312"/>
      <c r="B161" s="1313"/>
      <c r="C161" s="1313"/>
      <c r="D161" s="1314"/>
      <c r="E161" s="1314"/>
      <c r="F161" s="1314"/>
      <c r="G161" s="1315"/>
    </row>
    <row r="162" ht="14.25" customHeight="1">
      <c r="A162" s="1199" t="s">
        <v>1668</v>
      </c>
      <c r="B162" s="1200" t="s">
        <v>1670</v>
      </c>
      <c r="C162" s="28"/>
      <c r="D162" s="28"/>
      <c r="E162" s="28"/>
      <c r="F162" s="28"/>
      <c r="G162" s="29"/>
    </row>
    <row r="163" ht="14.25" customHeight="1">
      <c r="A163" s="1223" t="s">
        <v>1577</v>
      </c>
      <c r="B163" s="561"/>
      <c r="C163" s="561"/>
      <c r="D163" s="561"/>
      <c r="E163" s="561"/>
      <c r="F163" s="561"/>
      <c r="G163" s="124"/>
    </row>
    <row r="164" ht="14.25" customHeight="1">
      <c r="A164" s="1244" t="s">
        <v>1627</v>
      </c>
      <c r="B164" s="561"/>
      <c r="C164" s="561"/>
      <c r="D164" s="561"/>
      <c r="E164" s="561"/>
      <c r="F164" s="561"/>
      <c r="G164" s="124"/>
    </row>
    <row r="165" ht="14.25" customHeight="1">
      <c r="A165" s="1316" t="s">
        <v>1633</v>
      </c>
      <c r="B165" s="1211" t="s">
        <v>1657</v>
      </c>
      <c r="C165" s="1211" t="s">
        <v>1587</v>
      </c>
      <c r="D165" s="1211" t="s">
        <v>1658</v>
      </c>
      <c r="E165" s="1317" t="s">
        <v>1638</v>
      </c>
      <c r="F165" s="1318" t="s">
        <v>1580</v>
      </c>
      <c r="G165" s="1319"/>
    </row>
    <row r="166" ht="14.25" customHeight="1">
      <c r="A166" s="1282" t="s">
        <v>1662</v>
      </c>
      <c r="B166" s="1320" t="str">
        <f>(45.25+82.67+69.02)*2</f>
        <v>393.88</v>
      </c>
      <c r="C166" s="1257">
        <v>0.4</v>
      </c>
      <c r="D166" s="1321" t="str">
        <f>((3.9*0.4)+(1.5*0.4))*2</f>
        <v>4.32</v>
      </c>
      <c r="E166" s="1322" t="str">
        <f>(B166*C166)-D166</f>
        <v>153.23</v>
      </c>
      <c r="F166" s="1323"/>
      <c r="G166" s="571"/>
    </row>
    <row r="167" ht="14.25" customHeight="1">
      <c r="A167" s="1282" t="s">
        <v>1663</v>
      </c>
      <c r="B167" s="1320" t="str">
        <f>45.25+82.67+69.02</f>
        <v>196.94</v>
      </c>
      <c r="C167" s="1257">
        <v>0.15</v>
      </c>
      <c r="D167" s="1321"/>
      <c r="E167" s="1322" t="str">
        <f>(B167*C167)</f>
        <v>29.54</v>
      </c>
      <c r="F167" s="1323"/>
      <c r="G167" s="571"/>
    </row>
    <row r="168" ht="14.25" customHeight="1">
      <c r="A168" s="1324"/>
      <c r="B168" s="127"/>
      <c r="C168" s="712"/>
      <c r="D168" s="1325" t="s">
        <v>1623</v>
      </c>
      <c r="E168" s="1326" t="str">
        <f>SUM(E166:E167)</f>
        <v>182.77</v>
      </c>
      <c r="F168" s="1327"/>
      <c r="G168" s="1328"/>
    </row>
    <row r="169" ht="14.25" customHeight="1">
      <c r="A169" s="1312"/>
      <c r="B169" s="1313"/>
      <c r="C169" s="1313"/>
      <c r="D169" s="1314"/>
      <c r="E169" s="1314"/>
      <c r="F169" s="1314"/>
      <c r="G169" s="1315"/>
    </row>
    <row r="170" ht="14.25" customHeight="1">
      <c r="A170" s="1199" t="s">
        <v>1671</v>
      </c>
      <c r="B170" s="1200" t="s">
        <v>1672</v>
      </c>
      <c r="C170" s="28"/>
      <c r="D170" s="28"/>
      <c r="E170" s="28"/>
      <c r="F170" s="28"/>
      <c r="G170" s="29"/>
    </row>
    <row r="171" ht="14.25" customHeight="1">
      <c r="A171" s="1223" t="s">
        <v>1577</v>
      </c>
      <c r="B171" s="561"/>
      <c r="C171" s="561"/>
      <c r="D171" s="561"/>
      <c r="E171" s="561"/>
      <c r="F171" s="561"/>
      <c r="G171" s="124"/>
    </row>
    <row r="172" ht="14.25" customHeight="1">
      <c r="A172" s="1244" t="s">
        <v>1627</v>
      </c>
      <c r="B172" s="561"/>
      <c r="C172" s="561"/>
      <c r="D172" s="561"/>
      <c r="E172" s="561"/>
      <c r="F172" s="561"/>
      <c r="G172" s="124"/>
    </row>
    <row r="173" ht="14.25" customHeight="1">
      <c r="A173" s="1316" t="s">
        <v>1633</v>
      </c>
      <c r="B173" s="1211" t="s">
        <v>1657</v>
      </c>
      <c r="C173" s="1211" t="s">
        <v>1587</v>
      </c>
      <c r="D173" s="1211" t="s">
        <v>1658</v>
      </c>
      <c r="E173" s="1317" t="s">
        <v>1638</v>
      </c>
      <c r="F173" s="1318" t="s">
        <v>1580</v>
      </c>
      <c r="G173" s="1319"/>
    </row>
    <row r="174" ht="14.25" customHeight="1">
      <c r="A174" s="1282" t="s">
        <v>1659</v>
      </c>
      <c r="B174" s="1320" t="str">
        <f>45.25+82.67+69.02</f>
        <v>196.94</v>
      </c>
      <c r="C174" s="1257">
        <v>2.03</v>
      </c>
      <c r="D174" s="1321">
        <v>5.4</v>
      </c>
      <c r="E174" s="1326">
        <v>388.83</v>
      </c>
      <c r="F174" s="1323"/>
      <c r="G174" s="571"/>
      <c r="K174" s="232" t="str">
        <f>196.94-5.4</f>
        <v>191.54</v>
      </c>
      <c r="L174" t="str">
        <f>K174*2.03</f>
        <v>388.8262</v>
      </c>
    </row>
    <row r="175" ht="14.25" customHeight="1">
      <c r="A175" s="1324"/>
      <c r="B175" s="127"/>
      <c r="C175" s="712"/>
      <c r="D175" s="1325" t="s">
        <v>1623</v>
      </c>
      <c r="E175" s="1326" t="str">
        <f>E174</f>
        <v>388.83</v>
      </c>
      <c r="F175" s="1329"/>
      <c r="G175" s="1330"/>
    </row>
    <row r="176" ht="14.25" customHeight="1">
      <c r="A176" s="1312"/>
      <c r="B176" s="1313"/>
      <c r="C176" s="1313"/>
      <c r="D176" s="1314"/>
      <c r="E176" s="1314"/>
      <c r="F176" s="1314"/>
      <c r="G176" s="1315"/>
    </row>
    <row r="177" ht="14.25" customHeight="1">
      <c r="A177" s="1199" t="s">
        <v>1673</v>
      </c>
      <c r="B177" s="1200" t="s">
        <v>1674</v>
      </c>
      <c r="C177" s="28"/>
      <c r="D177" s="28"/>
      <c r="E177" s="28"/>
      <c r="F177" s="28"/>
      <c r="G177" s="29"/>
    </row>
    <row r="178" ht="14.25" customHeight="1">
      <c r="A178" s="1207" t="s">
        <v>1577</v>
      </c>
      <c r="B178" s="107"/>
      <c r="C178" s="107"/>
      <c r="D178" s="107"/>
      <c r="E178" s="107"/>
      <c r="F178" s="107"/>
      <c r="G178" s="781"/>
    </row>
    <row r="179" ht="14.25" customHeight="1">
      <c r="A179" s="1244" t="s">
        <v>1627</v>
      </c>
      <c r="B179" s="561"/>
      <c r="C179" s="561"/>
      <c r="D179" s="561"/>
      <c r="E179" s="561"/>
      <c r="F179" s="561"/>
      <c r="G179" s="124"/>
    </row>
    <row r="180" ht="14.25" customHeight="1">
      <c r="A180" s="1291" t="s">
        <v>1593</v>
      </c>
      <c r="B180" s="41"/>
      <c r="C180" s="1292" t="s">
        <v>1628</v>
      </c>
      <c r="D180" s="1292" t="s">
        <v>1622</v>
      </c>
      <c r="E180" s="1293" t="s">
        <v>1580</v>
      </c>
      <c r="F180" s="561"/>
      <c r="G180" s="124"/>
    </row>
    <row r="181" ht="14.25" customHeight="1">
      <c r="A181" s="1294" t="s">
        <v>1675</v>
      </c>
      <c r="B181" s="41"/>
      <c r="C181" s="1296">
        <v>283.66</v>
      </c>
      <c r="D181" s="1331" t="str">
        <f>C181</f>
        <v>283.66</v>
      </c>
      <c r="E181" s="1297"/>
      <c r="F181" s="854"/>
      <c r="G181" s="855"/>
    </row>
    <row r="182" ht="14.25" customHeight="1">
      <c r="A182" s="1285" t="s">
        <v>1623</v>
      </c>
      <c r="B182" s="127"/>
      <c r="C182" s="712"/>
      <c r="D182" s="1298" t="str">
        <f>SUM(D181)</f>
        <v>283.66</v>
      </c>
      <c r="E182" s="1299"/>
      <c r="F182" s="127"/>
      <c r="G182" s="128"/>
    </row>
    <row r="183" ht="14.25" customHeight="1">
      <c r="A183" s="1312"/>
      <c r="B183" s="1313"/>
      <c r="C183" s="1313"/>
      <c r="D183" s="1314"/>
      <c r="E183" s="1314"/>
      <c r="F183" s="1314"/>
      <c r="G183" s="1315"/>
    </row>
    <row r="184" ht="14.25" customHeight="1">
      <c r="A184" s="1199" t="s">
        <v>1676</v>
      </c>
      <c r="B184" s="1200" t="s">
        <v>1677</v>
      </c>
      <c r="C184" s="28"/>
      <c r="D184" s="28"/>
      <c r="E184" s="28"/>
      <c r="F184" s="28"/>
      <c r="G184" s="29"/>
    </row>
    <row r="185" ht="14.25" customHeight="1">
      <c r="A185" s="1207" t="s">
        <v>1577</v>
      </c>
      <c r="B185" s="107"/>
      <c r="C185" s="107"/>
      <c r="D185" s="107"/>
      <c r="E185" s="107"/>
      <c r="F185" s="107"/>
      <c r="G185" s="781"/>
    </row>
    <row r="186" ht="14.25" customHeight="1">
      <c r="A186" s="1244" t="s">
        <v>1627</v>
      </c>
      <c r="B186" s="561"/>
      <c r="C186" s="561"/>
      <c r="D186" s="561"/>
      <c r="E186" s="561"/>
      <c r="F186" s="561"/>
      <c r="G186" s="124"/>
    </row>
    <row r="187" ht="14.25" customHeight="1">
      <c r="A187" s="1291" t="s">
        <v>1593</v>
      </c>
      <c r="B187" s="41"/>
      <c r="C187" s="1292" t="s">
        <v>1678</v>
      </c>
      <c r="D187" s="1292" t="s">
        <v>1622</v>
      </c>
      <c r="E187" s="1293" t="s">
        <v>1580</v>
      </c>
      <c r="F187" s="561"/>
      <c r="G187" s="124"/>
    </row>
    <row r="188" ht="14.25" customHeight="1">
      <c r="A188" s="1294" t="s">
        <v>1675</v>
      </c>
      <c r="B188" s="41"/>
      <c r="C188" s="1296">
        <v>2.89</v>
      </c>
      <c r="D188" s="1331" t="str">
        <f>2.89*2</f>
        <v>5.78</v>
      </c>
      <c r="E188" s="1297" t="s">
        <v>1679</v>
      </c>
      <c r="F188" s="854"/>
      <c r="G188" s="855"/>
    </row>
    <row r="189" ht="14.25" customHeight="1">
      <c r="A189" s="1285" t="s">
        <v>1623</v>
      </c>
      <c r="B189" s="127"/>
      <c r="C189" s="712"/>
      <c r="D189" s="1298" t="str">
        <f>SUM(D188)</f>
        <v>5.78</v>
      </c>
      <c r="E189" s="1299"/>
      <c r="F189" s="127"/>
      <c r="G189" s="128"/>
    </row>
    <row r="190" ht="14.25" customHeight="1">
      <c r="A190" s="1183"/>
      <c r="B190" s="1184"/>
      <c r="C190" s="1184"/>
      <c r="D190" s="1184"/>
      <c r="E190" s="1184"/>
      <c r="F190" s="1184"/>
      <c r="G190" s="1185"/>
    </row>
    <row r="191" ht="14.25" customHeight="1">
      <c r="A191" s="1199" t="s">
        <v>1680</v>
      </c>
      <c r="B191" s="1200" t="s">
        <v>1681</v>
      </c>
      <c r="C191" s="28"/>
      <c r="D191" s="28"/>
      <c r="E191" s="28"/>
      <c r="F191" s="28"/>
      <c r="G191" s="29"/>
    </row>
    <row r="192" ht="14.25" customHeight="1">
      <c r="A192" s="1207" t="s">
        <v>1577</v>
      </c>
      <c r="B192" s="107"/>
      <c r="C192" s="107"/>
      <c r="D192" s="107"/>
      <c r="E192" s="107"/>
      <c r="F192" s="107"/>
      <c r="G192" s="781"/>
    </row>
    <row r="193" ht="14.25" customHeight="1">
      <c r="A193" s="1244" t="s">
        <v>1627</v>
      </c>
      <c r="B193" s="561"/>
      <c r="C193" s="561"/>
      <c r="D193" s="561"/>
      <c r="E193" s="561"/>
      <c r="F193" s="561"/>
      <c r="G193" s="124"/>
    </row>
    <row r="194" ht="14.25" customHeight="1">
      <c r="A194" s="1291" t="s">
        <v>1593</v>
      </c>
      <c r="B194" s="41"/>
      <c r="C194" s="1292" t="s">
        <v>1682</v>
      </c>
      <c r="D194" s="1292" t="s">
        <v>1634</v>
      </c>
      <c r="E194" s="1293" t="s">
        <v>1580</v>
      </c>
      <c r="F194" s="561"/>
      <c r="G194" s="124"/>
    </row>
    <row r="195" ht="26.25" customHeight="1">
      <c r="A195" s="1294" t="s">
        <v>1683</v>
      </c>
      <c r="B195" s="41"/>
      <c r="C195" s="1296" t="str">
        <f>19.41+11.4+((6*2)+(5*12))+((0.31+1.2+(1.41*6)+0.7)*2+((4.05*11)))</f>
        <v>168.70</v>
      </c>
      <c r="D195" s="1331" t="str">
        <f>C195</f>
        <v>168.70</v>
      </c>
      <c r="E195" s="1297"/>
      <c r="F195" s="854"/>
      <c r="G195" s="855"/>
    </row>
    <row r="196" ht="14.25" customHeight="1">
      <c r="A196" s="1285" t="s">
        <v>1623</v>
      </c>
      <c r="B196" s="127"/>
      <c r="C196" s="712"/>
      <c r="D196" s="1298" t="str">
        <f>SUM(D195)</f>
        <v>168.70</v>
      </c>
      <c r="E196" s="1299"/>
      <c r="F196" s="127"/>
      <c r="G196" s="128"/>
    </row>
    <row r="197" ht="14.25" customHeight="1">
      <c r="A197" s="1183"/>
      <c r="B197" s="1184"/>
      <c r="C197" s="1184"/>
      <c r="D197" s="1184"/>
      <c r="E197" s="1184"/>
      <c r="F197" s="1184"/>
      <c r="G197" s="1185"/>
    </row>
    <row r="198" ht="14.25" customHeight="1">
      <c r="A198" s="1199" t="s">
        <v>1684</v>
      </c>
      <c r="B198" s="1200" t="s">
        <v>1685</v>
      </c>
      <c r="C198" s="28"/>
      <c r="D198" s="28"/>
      <c r="E198" s="28"/>
      <c r="F198" s="28"/>
      <c r="G198" s="29"/>
    </row>
    <row r="199" ht="14.25" customHeight="1">
      <c r="A199" s="1281" t="s">
        <v>1686</v>
      </c>
      <c r="B199" s="1259"/>
      <c r="C199" s="1259"/>
      <c r="D199" s="1259"/>
      <c r="E199" s="1259"/>
      <c r="F199" s="1259"/>
      <c r="G199" s="1260"/>
    </row>
    <row r="200" ht="14.25" customHeight="1">
      <c r="A200" s="1208" t="s">
        <v>1687</v>
      </c>
      <c r="B200" s="561"/>
      <c r="C200" s="561"/>
      <c r="D200" s="561"/>
      <c r="E200" s="561"/>
      <c r="F200" s="561"/>
      <c r="G200" s="124"/>
    </row>
    <row r="201" ht="14.25" customHeight="1">
      <c r="A201" s="1306" t="s">
        <v>1593</v>
      </c>
      <c r="B201" s="1292" t="s">
        <v>1688</v>
      </c>
      <c r="C201" s="1292" t="s">
        <v>1678</v>
      </c>
      <c r="D201" s="1292" t="s">
        <v>1689</v>
      </c>
      <c r="E201" s="1293" t="s">
        <v>1580</v>
      </c>
      <c r="F201" s="561"/>
      <c r="G201" s="124"/>
    </row>
    <row r="202" ht="14.25" customHeight="1">
      <c r="A202" s="1282" t="s">
        <v>1690</v>
      </c>
      <c r="B202" s="1332">
        <v>840.0</v>
      </c>
      <c r="C202" s="1230" t="str">
        <f t="shared" ref="C202:C203" si="2">0.25*0.25</f>
        <v>0.06</v>
      </c>
      <c r="D202" s="1283" t="str">
        <f t="shared" ref="D202:D203" si="3">ROUNDUP(C202*B202,2)</f>
        <v>52.50</v>
      </c>
      <c r="E202" s="1307" t="s">
        <v>1691</v>
      </c>
      <c r="F202" s="854"/>
      <c r="G202" s="855"/>
    </row>
    <row r="203" ht="14.25" customHeight="1">
      <c r="A203" s="1282" t="s">
        <v>1692</v>
      </c>
      <c r="B203" s="1332">
        <v>67.0</v>
      </c>
      <c r="C203" s="1230" t="str">
        <f t="shared" si="2"/>
        <v>0.06</v>
      </c>
      <c r="D203" s="1283" t="str">
        <f t="shared" si="3"/>
        <v>4.19</v>
      </c>
      <c r="E203" s="38"/>
      <c r="F203" s="1259"/>
      <c r="G203" s="1260"/>
    </row>
    <row r="204" ht="14.25" customHeight="1">
      <c r="A204" s="1333" t="s">
        <v>1623</v>
      </c>
      <c r="B204" s="1334" t="str">
        <f>ROUNDUP(B203+B202,2)</f>
        <v>907</v>
      </c>
      <c r="C204" s="1335"/>
      <c r="D204" s="1298" t="str">
        <f>ROUNDUP(D203+D202,2)</f>
        <v>56.69</v>
      </c>
      <c r="E204" s="1336"/>
      <c r="F204" s="127"/>
      <c r="G204" s="128"/>
    </row>
    <row r="205" ht="14.25" customHeight="1">
      <c r="A205" s="1183"/>
      <c r="B205" s="1184"/>
      <c r="C205" s="1184"/>
      <c r="D205" s="1184"/>
      <c r="E205" s="1184"/>
      <c r="F205" s="1184"/>
      <c r="G205" s="1185"/>
    </row>
    <row r="206" ht="14.25" customHeight="1">
      <c r="A206" s="1199" t="s">
        <v>1693</v>
      </c>
      <c r="B206" s="1200" t="s">
        <v>1694</v>
      </c>
      <c r="C206" s="28"/>
      <c r="D206" s="28"/>
      <c r="E206" s="28"/>
      <c r="F206" s="28"/>
      <c r="G206" s="29"/>
    </row>
    <row r="207" ht="14.25" customHeight="1">
      <c r="A207" s="1223" t="s">
        <v>1577</v>
      </c>
      <c r="B207" s="561"/>
      <c r="C207" s="561"/>
      <c r="D207" s="561"/>
      <c r="E207" s="561"/>
      <c r="F207" s="561"/>
      <c r="G207" s="124"/>
    </row>
    <row r="208" ht="14.25" customHeight="1">
      <c r="A208" s="1244" t="s">
        <v>1627</v>
      </c>
      <c r="B208" s="561"/>
      <c r="C208" s="561"/>
      <c r="D208" s="561"/>
      <c r="E208" s="561"/>
      <c r="F208" s="561"/>
      <c r="G208" s="124"/>
    </row>
    <row r="209" ht="14.25" customHeight="1">
      <c r="A209" s="1316" t="s">
        <v>1695</v>
      </c>
      <c r="B209" s="1211" t="s">
        <v>1688</v>
      </c>
      <c r="C209" s="1212" t="s">
        <v>1580</v>
      </c>
      <c r="D209" s="561"/>
      <c r="E209" s="561"/>
      <c r="F209" s="561"/>
      <c r="G209" s="124"/>
    </row>
    <row r="210" ht="14.25" customHeight="1">
      <c r="A210" s="1337">
        <v>40.0</v>
      </c>
      <c r="B210" s="1338">
        <v>4.0</v>
      </c>
      <c r="C210" s="1339" t="s">
        <v>1696</v>
      </c>
      <c r="D210" s="561"/>
      <c r="E210" s="561"/>
      <c r="F210" s="561"/>
      <c r="G210" s="124"/>
    </row>
    <row r="211" ht="14.25" customHeight="1">
      <c r="A211" s="1282">
        <v>20.0</v>
      </c>
      <c r="B211" s="1340">
        <v>40.0</v>
      </c>
      <c r="C211" s="1339" t="s">
        <v>1697</v>
      </c>
      <c r="D211" s="561"/>
      <c r="E211" s="561"/>
      <c r="F211" s="561"/>
      <c r="G211" s="124"/>
    </row>
    <row r="212" ht="14.25" customHeight="1">
      <c r="A212" s="1341"/>
      <c r="B212" s="1342"/>
      <c r="C212" s="1343"/>
      <c r="D212" s="1343"/>
      <c r="E212" s="1343"/>
      <c r="F212" s="1343"/>
      <c r="G212" s="1344"/>
    </row>
    <row r="213" ht="39.0" customHeight="1">
      <c r="A213" s="1142" t="s">
        <v>1545</v>
      </c>
      <c r="B213" s="618"/>
      <c r="C213" s="1345"/>
      <c r="D213" s="621" t="s">
        <v>1698</v>
      </c>
      <c r="E213" s="28"/>
      <c r="F213" s="28"/>
      <c r="G213" s="29"/>
    </row>
  </sheetData>
  <mergeCells count="207">
    <mergeCell ref="A132:G132"/>
    <mergeCell ref="F133:G133"/>
    <mergeCell ref="F134:G134"/>
    <mergeCell ref="F135:G135"/>
    <mergeCell ref="A136:C136"/>
    <mergeCell ref="B138:G138"/>
    <mergeCell ref="A139:G139"/>
    <mergeCell ref="A140:G140"/>
    <mergeCell ref="F141:G141"/>
    <mergeCell ref="B130:G130"/>
    <mergeCell ref="A131:G131"/>
    <mergeCell ref="D119:G119"/>
    <mergeCell ref="B120:C120"/>
    <mergeCell ref="B123:G123"/>
    <mergeCell ref="A124:G124"/>
    <mergeCell ref="A125:G125"/>
    <mergeCell ref="F126:G126"/>
    <mergeCell ref="F127:G127"/>
    <mergeCell ref="A128:C128"/>
    <mergeCell ref="D118:G118"/>
    <mergeCell ref="A122:G122"/>
    <mergeCell ref="B118:C118"/>
    <mergeCell ref="B119:C119"/>
    <mergeCell ref="D112:G112"/>
    <mergeCell ref="B113:C113"/>
    <mergeCell ref="B115:G115"/>
    <mergeCell ref="A116:G116"/>
    <mergeCell ref="A117:G117"/>
    <mergeCell ref="E90:G90"/>
    <mergeCell ref="E91:G91"/>
    <mergeCell ref="A67:G67"/>
    <mergeCell ref="B65:G65"/>
    <mergeCell ref="A66:G66"/>
    <mergeCell ref="F68:G68"/>
    <mergeCell ref="F69:G69"/>
    <mergeCell ref="A70:F70"/>
    <mergeCell ref="A60:G60"/>
    <mergeCell ref="F61:G61"/>
    <mergeCell ref="F62:G62"/>
    <mergeCell ref="A63:F63"/>
    <mergeCell ref="A92:C92"/>
    <mergeCell ref="E92:G92"/>
    <mergeCell ref="A95:G95"/>
    <mergeCell ref="A96:G96"/>
    <mergeCell ref="E97:G97"/>
    <mergeCell ref="E98:G98"/>
    <mergeCell ref="A99:C99"/>
    <mergeCell ref="E99:G99"/>
    <mergeCell ref="B94:G94"/>
    <mergeCell ref="E84:G84"/>
    <mergeCell ref="E83:G83"/>
    <mergeCell ref="A89:G89"/>
    <mergeCell ref="A84:B84"/>
    <mergeCell ref="A85:C85"/>
    <mergeCell ref="E85:G85"/>
    <mergeCell ref="B87:G87"/>
    <mergeCell ref="A88:G88"/>
    <mergeCell ref="A83:B83"/>
    <mergeCell ref="E78:G78"/>
    <mergeCell ref="E77:G77"/>
    <mergeCell ref="B72:G72"/>
    <mergeCell ref="B73:G73"/>
    <mergeCell ref="B51:C51"/>
    <mergeCell ref="E51:G51"/>
    <mergeCell ref="D18:G18"/>
    <mergeCell ref="D19:G19"/>
    <mergeCell ref="A20:B20"/>
    <mergeCell ref="D20:G20"/>
    <mergeCell ref="A23:G23"/>
    <mergeCell ref="B11:G11"/>
    <mergeCell ref="B13:G13"/>
    <mergeCell ref="B15:G15"/>
    <mergeCell ref="A16:G16"/>
    <mergeCell ref="A17:G17"/>
    <mergeCell ref="A18:B19"/>
    <mergeCell ref="B22:G22"/>
    <mergeCell ref="A49:G49"/>
    <mergeCell ref="B50:C50"/>
    <mergeCell ref="E50:G50"/>
    <mergeCell ref="B53:G53"/>
    <mergeCell ref="A54:G54"/>
    <mergeCell ref="A55:G55"/>
    <mergeCell ref="B57:G57"/>
    <mergeCell ref="B58:G58"/>
    <mergeCell ref="A59:G59"/>
    <mergeCell ref="A48:G48"/>
    <mergeCell ref="B47:G47"/>
    <mergeCell ref="B34:C34"/>
    <mergeCell ref="B35:C35"/>
    <mergeCell ref="B32:C32"/>
    <mergeCell ref="A40:G40"/>
    <mergeCell ref="B39:G39"/>
    <mergeCell ref="A41:G41"/>
    <mergeCell ref="B43:G43"/>
    <mergeCell ref="A44:G44"/>
    <mergeCell ref="A45:G45"/>
    <mergeCell ref="B33:C33"/>
    <mergeCell ref="E33:G36"/>
    <mergeCell ref="B36:C36"/>
    <mergeCell ref="E32:G32"/>
    <mergeCell ref="E26:G26"/>
    <mergeCell ref="A27:C27"/>
    <mergeCell ref="B29:G29"/>
    <mergeCell ref="A30:G30"/>
    <mergeCell ref="A31:G31"/>
    <mergeCell ref="A24:G24"/>
    <mergeCell ref="E25:G25"/>
    <mergeCell ref="A1:G1"/>
    <mergeCell ref="A2:G2"/>
    <mergeCell ref="A3:G3"/>
    <mergeCell ref="B5:F5"/>
    <mergeCell ref="B6:E6"/>
    <mergeCell ref="A10:G10"/>
    <mergeCell ref="A185:G185"/>
    <mergeCell ref="A186:G186"/>
    <mergeCell ref="A188:B188"/>
    <mergeCell ref="A189:C189"/>
    <mergeCell ref="E189:G189"/>
    <mergeCell ref="A182:C182"/>
    <mergeCell ref="B184:G184"/>
    <mergeCell ref="A187:B187"/>
    <mergeCell ref="A181:B181"/>
    <mergeCell ref="F174:G174"/>
    <mergeCell ref="A175:C175"/>
    <mergeCell ref="A178:G178"/>
    <mergeCell ref="A179:G179"/>
    <mergeCell ref="A180:B180"/>
    <mergeCell ref="E180:G180"/>
    <mergeCell ref="A172:G172"/>
    <mergeCell ref="F173:G173"/>
    <mergeCell ref="B177:G177"/>
    <mergeCell ref="A164:G164"/>
    <mergeCell ref="A163:G163"/>
    <mergeCell ref="A171:G171"/>
    <mergeCell ref="F165:G165"/>
    <mergeCell ref="F166:G166"/>
    <mergeCell ref="F167:G167"/>
    <mergeCell ref="A168:C168"/>
    <mergeCell ref="B170:G170"/>
    <mergeCell ref="B162:G162"/>
    <mergeCell ref="B154:G154"/>
    <mergeCell ref="A155:G155"/>
    <mergeCell ref="F157:G157"/>
    <mergeCell ref="F158:G158"/>
    <mergeCell ref="F159:G159"/>
    <mergeCell ref="A160:C160"/>
    <mergeCell ref="F151:G151"/>
    <mergeCell ref="A152:C152"/>
    <mergeCell ref="A156:G156"/>
    <mergeCell ref="A213:B213"/>
    <mergeCell ref="D213:G213"/>
    <mergeCell ref="A207:G207"/>
    <mergeCell ref="A208:G208"/>
    <mergeCell ref="C209:G209"/>
    <mergeCell ref="C210:G210"/>
    <mergeCell ref="C211:G211"/>
    <mergeCell ref="B206:G206"/>
    <mergeCell ref="B198:G198"/>
    <mergeCell ref="A199:G199"/>
    <mergeCell ref="A200:G200"/>
    <mergeCell ref="E201:G201"/>
    <mergeCell ref="E202:G203"/>
    <mergeCell ref="E204:G204"/>
    <mergeCell ref="A193:G193"/>
    <mergeCell ref="A192:G192"/>
    <mergeCell ref="A194:B194"/>
    <mergeCell ref="E194:G194"/>
    <mergeCell ref="A195:B195"/>
    <mergeCell ref="E195:G195"/>
    <mergeCell ref="A196:C196"/>
    <mergeCell ref="E196:G196"/>
    <mergeCell ref="B191:G191"/>
    <mergeCell ref="E188:G188"/>
    <mergeCell ref="E187:G187"/>
    <mergeCell ref="E182:G182"/>
    <mergeCell ref="E181:G181"/>
    <mergeCell ref="F150:G150"/>
    <mergeCell ref="F143:G143"/>
    <mergeCell ref="A144:C144"/>
    <mergeCell ref="B146:G146"/>
    <mergeCell ref="A147:G147"/>
    <mergeCell ref="A148:G148"/>
    <mergeCell ref="F149:G149"/>
    <mergeCell ref="F142:G142"/>
    <mergeCell ref="B112:C112"/>
    <mergeCell ref="A106:C106"/>
    <mergeCell ref="B108:G108"/>
    <mergeCell ref="A109:G109"/>
    <mergeCell ref="A110:G110"/>
    <mergeCell ref="B111:C111"/>
    <mergeCell ref="D111:G111"/>
    <mergeCell ref="E106:G106"/>
    <mergeCell ref="A100:G100"/>
    <mergeCell ref="B101:G101"/>
    <mergeCell ref="A102:G102"/>
    <mergeCell ref="A103:G103"/>
    <mergeCell ref="E104:G104"/>
    <mergeCell ref="E105:G105"/>
    <mergeCell ref="A76:B76"/>
    <mergeCell ref="E76:G76"/>
    <mergeCell ref="A78:C78"/>
    <mergeCell ref="B80:G80"/>
    <mergeCell ref="A81:G81"/>
    <mergeCell ref="A82:G82"/>
    <mergeCell ref="A74:G74"/>
    <mergeCell ref="A75:G75"/>
    <mergeCell ref="A77:B77"/>
  </mergeCells>
  <printOptions/>
  <pageMargins bottom="0.787401575" footer="0.0" header="0.0" left="0.511811024" right="0.511811024" top="0.7874015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9.86"/>
    <col customWidth="1" min="2" max="2" width="11.57"/>
    <col customWidth="1" min="3" max="3" width="11.14"/>
    <col customWidth="1" min="4" max="11" width="8.71"/>
  </cols>
  <sheetData>
    <row r="1" ht="14.25" customHeight="1">
      <c r="A1" s="1346" t="s">
        <v>1699</v>
      </c>
      <c r="B1" s="28"/>
      <c r="C1" s="29"/>
    </row>
    <row r="2" ht="14.25" customHeight="1">
      <c r="A2" s="1347" t="s">
        <v>96</v>
      </c>
      <c r="B2" s="28"/>
      <c r="C2" s="29"/>
    </row>
    <row r="3" ht="14.25" customHeight="1">
      <c r="A3" s="1348" t="s">
        <v>1700</v>
      </c>
      <c r="B3" s="29"/>
      <c r="C3" s="1349" t="s">
        <v>1701</v>
      </c>
    </row>
    <row r="4" ht="14.25" customHeight="1">
      <c r="A4" s="1350" t="s">
        <v>1702</v>
      </c>
      <c r="B4" s="1351" t="str">
        <f>11.34+19</f>
        <v>30.34</v>
      </c>
      <c r="C4" s="1352" t="s">
        <v>1703</v>
      </c>
    </row>
    <row r="5" ht="38.25" customHeight="1">
      <c r="A5" s="1353" t="s">
        <v>1704</v>
      </c>
      <c r="B5" s="1354" t="str">
        <f>(B22/0.15)*0.55</f>
        <v>35.49</v>
      </c>
      <c r="C5" s="1355" t="s">
        <v>1703</v>
      </c>
    </row>
    <row r="6" ht="14.25" customHeight="1">
      <c r="A6" s="1350" t="s">
        <v>1705</v>
      </c>
      <c r="B6" s="1351"/>
      <c r="C6" s="1355" t="s">
        <v>1703</v>
      </c>
    </row>
    <row r="7" ht="25.5" customHeight="1">
      <c r="A7" s="1350" t="s">
        <v>1706</v>
      </c>
      <c r="B7" s="1351" t="str">
        <f>B5-B22</f>
        <v>25.81</v>
      </c>
      <c r="C7" s="1355" t="s">
        <v>1703</v>
      </c>
    </row>
    <row r="8" ht="14.25" customHeight="1">
      <c r="A8" s="1350" t="s">
        <v>1707</v>
      </c>
      <c r="B8" s="1351" t="str">
        <f>B14+B22</f>
        <v>40.02</v>
      </c>
      <c r="C8" s="1355" t="s">
        <v>1703</v>
      </c>
    </row>
    <row r="9" ht="14.25" customHeight="1">
      <c r="A9" s="1353" t="s">
        <v>1708</v>
      </c>
      <c r="B9" s="1354" t="str">
        <f>2.57*28</f>
        <v>71.96</v>
      </c>
      <c r="C9" s="1355" t="s">
        <v>1709</v>
      </c>
    </row>
    <row r="10" ht="14.25" customHeight="1">
      <c r="A10" s="1353" t="s">
        <v>1710</v>
      </c>
      <c r="B10" s="1354" t="str">
        <f>B5/0.5</f>
        <v>70.99</v>
      </c>
      <c r="C10" s="1355" t="s">
        <v>1709</v>
      </c>
    </row>
    <row r="11" ht="14.25" customHeight="1">
      <c r="A11" s="1356" t="s">
        <v>1711</v>
      </c>
      <c r="B11" s="1357" t="str">
        <f>161*(0.4+0.15+0.4)</f>
        <v>152.95</v>
      </c>
      <c r="C11" s="1358" t="s">
        <v>1709</v>
      </c>
    </row>
    <row r="12" ht="14.25" customHeight="1">
      <c r="A12" s="1348" t="s">
        <v>115</v>
      </c>
      <c r="B12" s="29"/>
      <c r="C12" s="1359" t="s">
        <v>1701</v>
      </c>
    </row>
    <row r="13" ht="14.25" customHeight="1">
      <c r="A13" s="1360" t="s">
        <v>1712</v>
      </c>
      <c r="B13" s="1351" t="str">
        <f>8.88+4.44</f>
        <v>13.32</v>
      </c>
      <c r="C13" s="1352" t="s">
        <v>1709</v>
      </c>
    </row>
    <row r="14" ht="14.25" customHeight="1">
      <c r="A14" s="1361" t="s">
        <v>1713</v>
      </c>
      <c r="B14" s="1354" t="str">
        <f>11.34+19</f>
        <v>30.34</v>
      </c>
      <c r="C14" s="1355" t="s">
        <v>1703</v>
      </c>
    </row>
    <row r="15" ht="14.25" customHeight="1">
      <c r="A15" s="1361" t="s">
        <v>1714</v>
      </c>
      <c r="B15" s="1354" t="str">
        <f>B14</f>
        <v>30.34</v>
      </c>
      <c r="C15" s="1355" t="s">
        <v>1703</v>
      </c>
    </row>
    <row r="16" ht="14.25" customHeight="1">
      <c r="A16" s="1361" t="s">
        <v>1715</v>
      </c>
      <c r="B16" s="1354" t="str">
        <f>33.6+48.2</f>
        <v>81.80</v>
      </c>
      <c r="C16" s="1355" t="s">
        <v>1443</v>
      </c>
    </row>
    <row r="17" ht="14.25" customHeight="1">
      <c r="A17" s="1361" t="s">
        <v>1716</v>
      </c>
      <c r="B17" s="1354" t="str">
        <f>127.1+158.2</f>
        <v>285.30</v>
      </c>
      <c r="C17" s="1355" t="s">
        <v>1443</v>
      </c>
    </row>
    <row r="18" ht="14.25" customHeight="1">
      <c r="A18" s="1361" t="s">
        <v>1717</v>
      </c>
      <c r="B18" s="1354" t="str">
        <f>4.2</f>
        <v>4.20</v>
      </c>
      <c r="C18" s="1362" t="s">
        <v>1443</v>
      </c>
    </row>
    <row r="19" ht="14.25" customHeight="1">
      <c r="A19" s="1363" t="s">
        <v>1718</v>
      </c>
      <c r="B19" s="1357" t="str">
        <f>45.8+64.9</f>
        <v>110.70</v>
      </c>
      <c r="C19" s="1358" t="s">
        <v>1443</v>
      </c>
    </row>
    <row r="20" ht="14.25" customHeight="1">
      <c r="A20" s="1348" t="s">
        <v>98</v>
      </c>
      <c r="B20" s="29"/>
      <c r="C20" s="1359" t="s">
        <v>1701</v>
      </c>
    </row>
    <row r="21" ht="14.25" customHeight="1">
      <c r="A21" s="1364" t="s">
        <v>1719</v>
      </c>
      <c r="B21" s="1351" t="str">
        <f>112.11+41.11</f>
        <v>153.22</v>
      </c>
      <c r="C21" s="1352" t="s">
        <v>1709</v>
      </c>
    </row>
    <row r="22" ht="14.25" customHeight="1">
      <c r="A22" s="1365" t="s">
        <v>1713</v>
      </c>
      <c r="B22" s="1354" t="str">
        <f>7.08+2.6</f>
        <v>9.68</v>
      </c>
      <c r="C22" s="1355" t="s">
        <v>1703</v>
      </c>
    </row>
    <row r="23" ht="14.25" customHeight="1">
      <c r="A23" s="1365" t="s">
        <v>1714</v>
      </c>
      <c r="B23" s="1354" t="str">
        <f>B22</f>
        <v>9.68</v>
      </c>
      <c r="C23" s="1355" t="s">
        <v>1703</v>
      </c>
    </row>
    <row r="24" ht="14.25" customHeight="1">
      <c r="A24" s="1365" t="s">
        <v>1715</v>
      </c>
      <c r="B24" s="1354" t="str">
        <f>74.3+27.5</f>
        <v>101.80</v>
      </c>
      <c r="C24" s="1355" t="s">
        <v>1443</v>
      </c>
    </row>
    <row r="25" ht="14.25" customHeight="1">
      <c r="A25" s="1365" t="s">
        <v>1720</v>
      </c>
      <c r="B25" s="1354" t="str">
        <f>19.4+13.7</f>
        <v>33.10</v>
      </c>
      <c r="C25" s="1355" t="s">
        <v>1443</v>
      </c>
    </row>
    <row r="26" ht="14.25" customHeight="1">
      <c r="A26" s="1365" t="s">
        <v>1716</v>
      </c>
      <c r="B26" s="1354" t="str">
        <f>271.1+97.6</f>
        <v>368.70</v>
      </c>
      <c r="C26" s="1355" t="s">
        <v>1443</v>
      </c>
    </row>
    <row r="27" ht="14.25" customHeight="1">
      <c r="A27" s="1366" t="s">
        <v>1717</v>
      </c>
      <c r="B27" s="1357" t="str">
        <f>20</f>
        <v>20.00</v>
      </c>
      <c r="C27" s="1358" t="s">
        <v>1443</v>
      </c>
    </row>
    <row r="28" ht="14.25" customHeight="1">
      <c r="A28" s="1348" t="s">
        <v>1721</v>
      </c>
      <c r="B28" s="29"/>
      <c r="C28" s="1367" t="s">
        <v>1701</v>
      </c>
    </row>
    <row r="29" ht="14.25" customHeight="1">
      <c r="A29" s="1365" t="s">
        <v>1713</v>
      </c>
      <c r="B29" s="1368">
        <v>10.45</v>
      </c>
      <c r="C29" s="1355" t="s">
        <v>1703</v>
      </c>
    </row>
    <row r="30" ht="14.25" customHeight="1">
      <c r="A30" s="1365" t="s">
        <v>1714</v>
      </c>
      <c r="B30" s="1368" t="str">
        <f>B29</f>
        <v>10.45</v>
      </c>
      <c r="C30" s="1355" t="s">
        <v>1703</v>
      </c>
    </row>
    <row r="31" ht="14.25" customHeight="1">
      <c r="A31" s="1365" t="s">
        <v>1722</v>
      </c>
      <c r="B31" s="1368">
        <v>97.83</v>
      </c>
      <c r="C31" s="1355" t="s">
        <v>1443</v>
      </c>
    </row>
    <row r="32" ht="14.25" customHeight="1">
      <c r="A32" s="1365" t="s">
        <v>1723</v>
      </c>
      <c r="B32" s="1368">
        <v>160.0</v>
      </c>
      <c r="C32" s="1355" t="s">
        <v>1443</v>
      </c>
    </row>
    <row r="33" ht="14.25" customHeight="1">
      <c r="A33" s="1365" t="s">
        <v>1720</v>
      </c>
      <c r="B33" s="1368">
        <v>73.03</v>
      </c>
      <c r="C33" s="1355" t="s">
        <v>1443</v>
      </c>
    </row>
    <row r="34" ht="14.25" customHeight="1">
      <c r="A34" s="1365" t="s">
        <v>1716</v>
      </c>
      <c r="B34" s="1368">
        <v>11.8</v>
      </c>
      <c r="C34" s="1355" t="s">
        <v>1443</v>
      </c>
    </row>
    <row r="35" ht="14.25" customHeight="1">
      <c r="A35" s="1348" t="s">
        <v>128</v>
      </c>
      <c r="B35" s="29"/>
      <c r="C35" s="1367" t="s">
        <v>1701</v>
      </c>
    </row>
    <row r="36" ht="14.25" customHeight="1">
      <c r="A36" s="1364" t="s">
        <v>1719</v>
      </c>
      <c r="B36" s="1369">
        <v>61.4</v>
      </c>
      <c r="C36" s="1352" t="s">
        <v>1709</v>
      </c>
    </row>
    <row r="37" ht="14.25" customHeight="1">
      <c r="A37" s="1365" t="s">
        <v>1713</v>
      </c>
      <c r="B37" s="1368">
        <v>11.07</v>
      </c>
      <c r="C37" s="1355" t="s">
        <v>1703</v>
      </c>
    </row>
    <row r="38" ht="14.25" customHeight="1">
      <c r="A38" s="1365" t="s">
        <v>1714</v>
      </c>
      <c r="B38" s="1368" t="str">
        <f>B37</f>
        <v>11.07</v>
      </c>
      <c r="C38" s="1355" t="s">
        <v>1703</v>
      </c>
    </row>
    <row r="39" ht="14.25" customHeight="1">
      <c r="A39" s="1365" t="s">
        <v>1722</v>
      </c>
      <c r="B39" s="1368">
        <v>113.63</v>
      </c>
      <c r="C39" s="1355" t="s">
        <v>1443</v>
      </c>
    </row>
    <row r="40" ht="14.25" customHeight="1">
      <c r="A40" s="1365" t="s">
        <v>1723</v>
      </c>
      <c r="B40" s="1368">
        <v>322.0</v>
      </c>
      <c r="C40" s="1355" t="s">
        <v>1443</v>
      </c>
    </row>
    <row r="41" ht="14.25" customHeight="1">
      <c r="A41" s="1365" t="s">
        <v>1720</v>
      </c>
      <c r="B41" s="1368">
        <v>28.07</v>
      </c>
      <c r="C41" s="1355" t="s">
        <v>1443</v>
      </c>
    </row>
    <row r="42" ht="14.25" customHeight="1">
      <c r="A42" s="1365" t="s">
        <v>1716</v>
      </c>
      <c r="B42" s="1368">
        <v>103.92</v>
      </c>
      <c r="C42" s="1355" t="s">
        <v>1443</v>
      </c>
    </row>
    <row r="43" ht="14.25" customHeight="1">
      <c r="A43" s="1366" t="s">
        <v>1717</v>
      </c>
      <c r="B43" s="1370" t="str">
        <f>114.3</f>
        <v>114.30</v>
      </c>
      <c r="C43" s="1358" t="s">
        <v>1443</v>
      </c>
    </row>
    <row r="44" ht="14.25" customHeight="1">
      <c r="A44" s="1348" t="s">
        <v>154</v>
      </c>
      <c r="B44" s="29"/>
      <c r="C44" s="1367" t="s">
        <v>1701</v>
      </c>
    </row>
    <row r="45" ht="14.25" customHeight="1">
      <c r="A45" s="1364" t="s">
        <v>1719</v>
      </c>
      <c r="B45" s="1369" t="str">
        <f>60.56+64.84+68.17</f>
        <v>193.57</v>
      </c>
      <c r="C45" s="1352" t="s">
        <v>1709</v>
      </c>
    </row>
    <row r="46" ht="14.25" customHeight="1">
      <c r="A46" s="1365" t="s">
        <v>1713</v>
      </c>
      <c r="B46" s="1368" t="str">
        <f>3.48+3.97+3.94</f>
        <v>11.39</v>
      </c>
      <c r="C46" s="1355" t="s">
        <v>1703</v>
      </c>
    </row>
    <row r="47" ht="14.25" customHeight="1">
      <c r="A47" s="1365" t="s">
        <v>1714</v>
      </c>
      <c r="B47" s="1368" t="str">
        <f>B46</f>
        <v>11.39</v>
      </c>
      <c r="C47" s="1355" t="s">
        <v>1703</v>
      </c>
    </row>
    <row r="48" ht="14.25" customHeight="1">
      <c r="A48" s="1365" t="s">
        <v>1715</v>
      </c>
      <c r="B48" s="1354" t="str">
        <f>77.3+82.9+94.7</f>
        <v>254.90</v>
      </c>
      <c r="C48" s="1355" t="s">
        <v>1443</v>
      </c>
    </row>
    <row r="49" ht="14.25" customHeight="1">
      <c r="A49" s="1365" t="s">
        <v>1716</v>
      </c>
      <c r="B49" s="1354" t="str">
        <f>161.7+176.4+236</f>
        <v>574.10</v>
      </c>
      <c r="C49" s="1362" t="s">
        <v>1443</v>
      </c>
    </row>
    <row r="50" ht="14.25" customHeight="1">
      <c r="A50" s="1365" t="s">
        <v>1717</v>
      </c>
      <c r="B50" s="1354" t="str">
        <f>11.1</f>
        <v>11.10</v>
      </c>
      <c r="C50" s="1362" t="s">
        <v>1443</v>
      </c>
    </row>
    <row r="51" ht="14.25" customHeight="1">
      <c r="A51" s="1366" t="s">
        <v>1718</v>
      </c>
      <c r="B51" s="1357" t="str">
        <f>136.6+246.2+45.5</f>
        <v>428.30</v>
      </c>
      <c r="C51" s="1358" t="s">
        <v>1443</v>
      </c>
    </row>
    <row r="52" ht="14.25" customHeight="1">
      <c r="A52" s="1348" t="s">
        <v>1724</v>
      </c>
      <c r="B52" s="29"/>
      <c r="C52" s="1359" t="s">
        <v>1701</v>
      </c>
    </row>
    <row r="53" ht="14.25" customHeight="1">
      <c r="A53" s="1364" t="s">
        <v>1719</v>
      </c>
      <c r="B53" s="1371" t="str">
        <f>104.7+59.93</f>
        <v>164.63</v>
      </c>
      <c r="C53" s="1352" t="s">
        <v>1709</v>
      </c>
    </row>
    <row r="54" ht="14.25" customHeight="1">
      <c r="A54" s="1365" t="s">
        <v>1713</v>
      </c>
      <c r="B54" s="1371" t="str">
        <f>6.93+3.84</f>
        <v>10.77</v>
      </c>
      <c r="C54" s="1355" t="s">
        <v>1703</v>
      </c>
    </row>
    <row r="55" ht="14.25" customHeight="1">
      <c r="A55" s="1365" t="s">
        <v>1714</v>
      </c>
      <c r="B55" s="1371" t="str">
        <f>B54</f>
        <v>10.77</v>
      </c>
      <c r="C55" s="1355" t="s">
        <v>1703</v>
      </c>
    </row>
    <row r="56" ht="14.25" customHeight="1">
      <c r="A56" s="1365" t="s">
        <v>1715</v>
      </c>
      <c r="B56" s="1371" t="str">
        <f>81.4+56.5</f>
        <v>137.9</v>
      </c>
      <c r="C56" s="1355" t="s">
        <v>1443</v>
      </c>
    </row>
    <row r="57" ht="14.25" customHeight="1">
      <c r="A57" s="1365" t="s">
        <v>1723</v>
      </c>
      <c r="B57" s="1371" t="str">
        <f>84.8+46.7</f>
        <v>131.5</v>
      </c>
      <c r="C57" s="1355" t="s">
        <v>1443</v>
      </c>
    </row>
    <row r="58" ht="14.25" customHeight="1">
      <c r="A58" s="1365" t="s">
        <v>1720</v>
      </c>
      <c r="B58" s="1371" t="str">
        <f>36.5+18.3</f>
        <v>54.8</v>
      </c>
      <c r="C58" s="1355" t="s">
        <v>1443</v>
      </c>
    </row>
    <row r="59" ht="14.25" customHeight="1">
      <c r="A59" s="1365" t="s">
        <v>1716</v>
      </c>
      <c r="B59" s="1371" t="str">
        <f>215+114.4</f>
        <v>329.4</v>
      </c>
      <c r="C59" s="1355" t="s">
        <v>1443</v>
      </c>
    </row>
    <row r="60" ht="14.25" customHeight="1">
      <c r="A60" s="1365" t="s">
        <v>1717</v>
      </c>
      <c r="B60" s="1371">
        <v>21.5</v>
      </c>
      <c r="C60" s="1355" t="s">
        <v>1443</v>
      </c>
    </row>
    <row r="61" ht="14.25" customHeight="1">
      <c r="A61" s="1365" t="s">
        <v>1718</v>
      </c>
      <c r="B61" s="1371" t="str">
        <f>30.4+60</f>
        <v>90.4</v>
      </c>
      <c r="C61" s="1355" t="s">
        <v>1443</v>
      </c>
    </row>
    <row r="62" ht="14.25" customHeight="1">
      <c r="A62" s="1366" t="s">
        <v>1725</v>
      </c>
      <c r="B62" s="1372">
        <v>40.2</v>
      </c>
      <c r="C62" s="1358" t="s">
        <v>1443</v>
      </c>
    </row>
    <row r="63" ht="14.25" customHeight="1">
      <c r="A63" s="1348" t="s">
        <v>1726</v>
      </c>
      <c r="B63" s="29"/>
      <c r="C63" s="1359" t="s">
        <v>1701</v>
      </c>
    </row>
    <row r="64" ht="14.25" customHeight="1">
      <c r="A64" s="1364" t="s">
        <v>1719</v>
      </c>
      <c r="B64" s="1371">
        <v>32.53</v>
      </c>
      <c r="C64" s="1352" t="s">
        <v>1709</v>
      </c>
    </row>
    <row r="65" ht="14.25" customHeight="1">
      <c r="A65" s="1365" t="s">
        <v>1713</v>
      </c>
      <c r="B65" s="1371">
        <v>1.88</v>
      </c>
      <c r="C65" s="1355" t="s">
        <v>1703</v>
      </c>
    </row>
    <row r="66" ht="14.25" customHeight="1">
      <c r="A66" s="1365" t="s">
        <v>1714</v>
      </c>
      <c r="B66" s="1371" t="str">
        <f>B65</f>
        <v>1.88</v>
      </c>
      <c r="C66" s="1355" t="s">
        <v>1703</v>
      </c>
    </row>
    <row r="67" ht="14.25" customHeight="1">
      <c r="A67" s="1365" t="s">
        <v>1715</v>
      </c>
      <c r="B67" s="1371">
        <v>34.1</v>
      </c>
      <c r="C67" s="1355" t="s">
        <v>1443</v>
      </c>
    </row>
    <row r="68" ht="14.25" customHeight="1">
      <c r="A68" s="1366" t="s">
        <v>1720</v>
      </c>
      <c r="B68" s="1372">
        <v>73.7</v>
      </c>
      <c r="C68" s="1358" t="s">
        <v>1443</v>
      </c>
    </row>
    <row r="69" ht="14.25" customHeight="1">
      <c r="A69" s="1348" t="s">
        <v>1727</v>
      </c>
      <c r="B69" s="29"/>
      <c r="C69" s="1359" t="s">
        <v>1701</v>
      </c>
    </row>
    <row r="70" ht="14.25" customHeight="1">
      <c r="A70" s="1373" t="s">
        <v>1728</v>
      </c>
      <c r="B70" s="1369">
        <v>173.89</v>
      </c>
      <c r="C70" s="1352" t="s">
        <v>1443</v>
      </c>
    </row>
    <row r="71" ht="14.25" customHeight="1">
      <c r="A71" s="1365" t="s">
        <v>1729</v>
      </c>
      <c r="B71" s="1368">
        <v>19.53</v>
      </c>
      <c r="C71" s="1355" t="s">
        <v>1709</v>
      </c>
    </row>
    <row r="72" ht="14.25" customHeight="1">
      <c r="A72" s="1361" t="s">
        <v>1730</v>
      </c>
      <c r="B72" s="1368">
        <v>5.05</v>
      </c>
      <c r="C72" s="1355" t="s">
        <v>1443</v>
      </c>
    </row>
    <row r="73" ht="14.25" customHeight="1">
      <c r="A73" s="1363" t="s">
        <v>1731</v>
      </c>
      <c r="B73" s="1370">
        <v>11.66</v>
      </c>
      <c r="C73" s="1358" t="s">
        <v>1443</v>
      </c>
    </row>
    <row r="74" ht="14.25" customHeight="1">
      <c r="A74" s="813" t="s">
        <v>1732</v>
      </c>
      <c r="B74" s="1374" t="s">
        <v>1733</v>
      </c>
      <c r="C74" s="29"/>
    </row>
    <row r="75" ht="14.25" customHeight="1">
      <c r="A75" s="204"/>
      <c r="B75" s="260"/>
      <c r="C75" s="1375"/>
    </row>
    <row r="76" ht="14.25" customHeight="1">
      <c r="A76" s="1376"/>
      <c r="B76" s="1377"/>
      <c r="C76" s="1378"/>
    </row>
    <row r="77" ht="14.25" customHeight="1">
      <c r="A77" s="1347" t="s">
        <v>1734</v>
      </c>
      <c r="B77" s="28"/>
      <c r="C77" s="29"/>
    </row>
    <row r="78" ht="46.5" customHeight="1">
      <c r="A78" s="1348" t="s">
        <v>332</v>
      </c>
      <c r="B78" s="29"/>
      <c r="C78" s="1379" t="s">
        <v>1701</v>
      </c>
    </row>
    <row r="79" ht="14.25" customHeight="1">
      <c r="A79" s="1373" t="s">
        <v>1728</v>
      </c>
      <c r="B79" s="1369" t="str">
        <f>2587.3+43.54</f>
        <v>2630.84</v>
      </c>
      <c r="C79" s="1352" t="s">
        <v>1443</v>
      </c>
    </row>
    <row r="80" ht="14.25" customHeight="1">
      <c r="A80" s="1365" t="s">
        <v>1729</v>
      </c>
      <c r="B80" s="1380">
        <v>159.837</v>
      </c>
      <c r="C80" s="1355" t="s">
        <v>1709</v>
      </c>
    </row>
    <row r="81" ht="14.25" customHeight="1">
      <c r="A81" s="1361" t="s">
        <v>1730</v>
      </c>
      <c r="B81" s="1368" t="str">
        <f>15.45+14.57</f>
        <v>30.02</v>
      </c>
      <c r="C81" s="1355" t="s">
        <v>1443</v>
      </c>
    </row>
    <row r="82" ht="14.25" customHeight="1">
      <c r="A82" s="1363" t="s">
        <v>1731</v>
      </c>
      <c r="B82" s="1370">
        <v>64.32</v>
      </c>
      <c r="C82" s="1358" t="s">
        <v>1443</v>
      </c>
    </row>
    <row r="83" ht="14.25" customHeight="1">
      <c r="A83" s="1381" t="s">
        <v>1729</v>
      </c>
      <c r="B83" s="1382">
        <v>159.837</v>
      </c>
      <c r="C83" s="1383" t="s">
        <v>1709</v>
      </c>
    </row>
    <row r="84" ht="14.25" customHeight="1">
      <c r="A84" s="1381" t="s">
        <v>1730</v>
      </c>
      <c r="B84" s="1384" t="str">
        <f>15.45+14.57</f>
        <v>30.02</v>
      </c>
      <c r="C84" s="1383" t="s">
        <v>1443</v>
      </c>
    </row>
    <row r="85" ht="14.25" customHeight="1">
      <c r="A85" s="1385" t="s">
        <v>1731</v>
      </c>
      <c r="B85" s="1386">
        <v>64.32</v>
      </c>
      <c r="C85" s="1387" t="s">
        <v>1443</v>
      </c>
    </row>
    <row r="86" ht="41.25" customHeight="1">
      <c r="A86" s="1142" t="s">
        <v>1735</v>
      </c>
      <c r="B86" s="1388" t="s">
        <v>1733</v>
      </c>
      <c r="C86" s="29"/>
    </row>
    <row r="87" ht="14.25" customHeight="1">
      <c r="A87" s="348"/>
      <c r="B87" s="348"/>
      <c r="C87" s="348"/>
    </row>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15">
    <mergeCell ref="A12:B12"/>
    <mergeCell ref="A20:B20"/>
    <mergeCell ref="A28:B28"/>
    <mergeCell ref="A35:B35"/>
    <mergeCell ref="A44:B44"/>
    <mergeCell ref="A52:B52"/>
    <mergeCell ref="A63:B63"/>
    <mergeCell ref="A69:B69"/>
    <mergeCell ref="B86:C86"/>
    <mergeCell ref="A77:C77"/>
    <mergeCell ref="A78:B78"/>
    <mergeCell ref="A1:C1"/>
    <mergeCell ref="A2:C2"/>
    <mergeCell ref="A3:B3"/>
    <mergeCell ref="B74:C74"/>
  </mergeCells>
  <printOptions/>
  <pageMargins bottom="0.7874015748031497" footer="0.0" header="0.0" left="0.7874015748031497" right="0.5905511811023623" top="0.7874015748031497"/>
  <pageSetup paperSize="9" scale="70"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98.29"/>
    <col customWidth="1" min="3" max="3" width="12.0"/>
    <col customWidth="1" min="4" max="4" width="8.71"/>
    <col customWidth="1" min="5" max="5" width="11.57"/>
    <col customWidth="1" min="6" max="11" width="8.71"/>
  </cols>
  <sheetData>
    <row r="1" ht="14.25" customHeight="1">
      <c r="A1" s="1389" t="s">
        <v>1736</v>
      </c>
      <c r="B1" s="28"/>
      <c r="C1" s="29"/>
    </row>
    <row r="2" ht="14.25" customHeight="1">
      <c r="A2" s="1390" t="s">
        <v>1737</v>
      </c>
      <c r="B2" s="28"/>
      <c r="C2" s="29"/>
    </row>
    <row r="3" ht="14.25" customHeight="1">
      <c r="A3" s="1391">
        <v>1.0</v>
      </c>
      <c r="B3" s="1392" t="s">
        <v>1738</v>
      </c>
      <c r="C3" s="1393" t="s">
        <v>1739</v>
      </c>
    </row>
    <row r="4" ht="14.25" customHeight="1">
      <c r="A4" s="1391">
        <v>2.0</v>
      </c>
      <c r="B4" s="1392" t="s">
        <v>1740</v>
      </c>
      <c r="C4" s="1394" t="s">
        <v>1741</v>
      </c>
    </row>
    <row r="5" ht="14.25" customHeight="1">
      <c r="A5" s="1391">
        <v>3.0</v>
      </c>
      <c r="B5" s="1392" t="s">
        <v>1742</v>
      </c>
      <c r="C5" s="1394" t="s">
        <v>1743</v>
      </c>
    </row>
    <row r="6" ht="14.25" customHeight="1">
      <c r="A6" s="1391">
        <v>4.0</v>
      </c>
      <c r="B6" s="1392" t="s">
        <v>1744</v>
      </c>
      <c r="C6" s="1394" t="s">
        <v>1745</v>
      </c>
    </row>
    <row r="7" ht="14.25" customHeight="1">
      <c r="A7" s="1391">
        <v>5.0</v>
      </c>
      <c r="B7" s="1392" t="s">
        <v>1746</v>
      </c>
      <c r="C7" s="1394" t="s">
        <v>1747</v>
      </c>
    </row>
    <row r="8" ht="14.25" customHeight="1">
      <c r="A8" s="1391">
        <v>6.0</v>
      </c>
      <c r="B8" s="1392" t="s">
        <v>1748</v>
      </c>
      <c r="C8" s="1394" t="s">
        <v>1747</v>
      </c>
    </row>
    <row r="9" ht="14.25" customHeight="1">
      <c r="A9" s="1391">
        <v>7.0</v>
      </c>
      <c r="B9" s="1392" t="s">
        <v>1749</v>
      </c>
      <c r="C9" s="1394" t="s">
        <v>1750</v>
      </c>
    </row>
    <row r="10" ht="14.25" customHeight="1">
      <c r="A10" s="1391">
        <v>8.0</v>
      </c>
      <c r="B10" s="1392" t="s">
        <v>1751</v>
      </c>
      <c r="C10" s="1394" t="s">
        <v>1747</v>
      </c>
    </row>
    <row r="11" ht="14.25" customHeight="1">
      <c r="A11" s="1391">
        <v>9.0</v>
      </c>
      <c r="B11" s="1392" t="s">
        <v>1752</v>
      </c>
      <c r="C11" s="1394" t="s">
        <v>1753</v>
      </c>
    </row>
    <row r="12" ht="14.25" customHeight="1">
      <c r="A12" s="1391">
        <v>10.0</v>
      </c>
      <c r="B12" s="1392" t="s">
        <v>1754</v>
      </c>
      <c r="C12" s="1394" t="s">
        <v>1755</v>
      </c>
    </row>
    <row r="13" ht="14.25" customHeight="1">
      <c r="A13" s="1391">
        <v>11.0</v>
      </c>
      <c r="B13" s="770" t="s">
        <v>1756</v>
      </c>
      <c r="C13" s="1395" t="s">
        <v>1757</v>
      </c>
    </row>
    <row r="14" ht="14.25" customHeight="1">
      <c r="A14" s="1391">
        <v>12.0</v>
      </c>
      <c r="B14" s="770" t="s">
        <v>1758</v>
      </c>
      <c r="C14" s="1395" t="s">
        <v>1757</v>
      </c>
    </row>
    <row r="15" ht="14.25" customHeight="1">
      <c r="A15" s="1391">
        <v>13.0</v>
      </c>
      <c r="B15" s="1392" t="s">
        <v>1759</v>
      </c>
      <c r="C15" s="1394" t="s">
        <v>1760</v>
      </c>
    </row>
    <row r="16" ht="14.25" customHeight="1">
      <c r="A16" s="1391">
        <v>14.0</v>
      </c>
      <c r="B16" s="1392" t="s">
        <v>1761</v>
      </c>
      <c r="C16" s="1394" t="s">
        <v>1762</v>
      </c>
    </row>
    <row r="17" ht="14.25" customHeight="1">
      <c r="A17" s="1391">
        <v>15.0</v>
      </c>
      <c r="B17" s="1392" t="s">
        <v>1763</v>
      </c>
      <c r="C17" s="1394" t="s">
        <v>1764</v>
      </c>
    </row>
    <row r="18" ht="14.25" customHeight="1">
      <c r="A18" s="1391">
        <v>16.0</v>
      </c>
      <c r="B18" s="1392" t="s">
        <v>1765</v>
      </c>
      <c r="C18" s="1394" t="s">
        <v>1766</v>
      </c>
    </row>
    <row r="19" ht="14.25" customHeight="1">
      <c r="A19" s="1391">
        <v>17.0</v>
      </c>
      <c r="B19" s="1392" t="s">
        <v>1767</v>
      </c>
      <c r="C19" s="1394" t="s">
        <v>1768</v>
      </c>
    </row>
    <row r="20" ht="14.25" customHeight="1">
      <c r="A20" s="1391">
        <v>18.0</v>
      </c>
      <c r="B20" s="1392" t="s">
        <v>1769</v>
      </c>
      <c r="C20" s="1394" t="s">
        <v>1750</v>
      </c>
    </row>
    <row r="21" ht="14.25" customHeight="1">
      <c r="A21" s="1391">
        <v>19.0</v>
      </c>
      <c r="B21" s="1392" t="s">
        <v>1770</v>
      </c>
      <c r="C21" s="1394" t="s">
        <v>1771</v>
      </c>
    </row>
    <row r="22" ht="14.25" customHeight="1">
      <c r="A22" s="1391">
        <v>20.0</v>
      </c>
      <c r="B22" s="1392" t="s">
        <v>1772</v>
      </c>
      <c r="C22" s="1396" t="s">
        <v>1773</v>
      </c>
      <c r="E22" t="s">
        <v>392</v>
      </c>
    </row>
    <row r="23" ht="14.25" customHeight="1">
      <c r="A23" s="1391">
        <v>21.0</v>
      </c>
      <c r="B23" s="1392" t="s">
        <v>1774</v>
      </c>
      <c r="C23" s="1396" t="s">
        <v>1775</v>
      </c>
    </row>
    <row r="24" ht="14.25" customHeight="1">
      <c r="A24" s="1391">
        <v>22.0</v>
      </c>
      <c r="B24" s="1392" t="s">
        <v>1776</v>
      </c>
      <c r="C24" s="1396" t="s">
        <v>1750</v>
      </c>
    </row>
    <row r="25" ht="14.25" customHeight="1">
      <c r="A25" s="1391">
        <v>23.0</v>
      </c>
      <c r="B25" s="1392" t="s">
        <v>1777</v>
      </c>
      <c r="C25" s="1394" t="s">
        <v>1747</v>
      </c>
    </row>
    <row r="26" ht="14.25" customHeight="1">
      <c r="A26" s="1391">
        <v>24.0</v>
      </c>
      <c r="B26" s="1392" t="s">
        <v>1778</v>
      </c>
      <c r="C26" s="1394" t="s">
        <v>1747</v>
      </c>
    </row>
    <row r="27" ht="14.25" customHeight="1">
      <c r="A27" s="1391">
        <v>25.0</v>
      </c>
      <c r="B27" s="1392" t="s">
        <v>1779</v>
      </c>
      <c r="C27" s="1394" t="s">
        <v>1780</v>
      </c>
    </row>
    <row r="28" ht="14.25" customHeight="1">
      <c r="A28" s="1391">
        <v>26.0</v>
      </c>
      <c r="B28" s="1392" t="s">
        <v>1781</v>
      </c>
      <c r="C28" s="1394" t="s">
        <v>1750</v>
      </c>
    </row>
    <row r="29" ht="14.25" customHeight="1">
      <c r="A29" s="1391">
        <v>27.0</v>
      </c>
      <c r="B29" s="1392" t="s">
        <v>1782</v>
      </c>
      <c r="C29" s="1394" t="s">
        <v>1783</v>
      </c>
    </row>
    <row r="30" ht="14.25" customHeight="1">
      <c r="A30" s="1391">
        <v>28.0</v>
      </c>
      <c r="B30" s="1392" t="s">
        <v>1784</v>
      </c>
      <c r="C30" s="1394" t="s">
        <v>1750</v>
      </c>
    </row>
    <row r="31" ht="14.25" customHeight="1">
      <c r="A31" s="1391">
        <v>29.0</v>
      </c>
      <c r="B31" s="1392" t="s">
        <v>1785</v>
      </c>
      <c r="C31" s="1394" t="s">
        <v>1747</v>
      </c>
    </row>
    <row r="32" ht="14.25" customHeight="1">
      <c r="A32" s="1391">
        <v>30.0</v>
      </c>
      <c r="B32" s="1392" t="s">
        <v>1786</v>
      </c>
      <c r="C32" s="1394" t="s">
        <v>1771</v>
      </c>
    </row>
    <row r="33" ht="14.25" customHeight="1">
      <c r="A33" s="1391">
        <v>31.0</v>
      </c>
      <c r="B33" s="1392" t="s">
        <v>1787</v>
      </c>
      <c r="C33" s="1394" t="s">
        <v>1747</v>
      </c>
    </row>
    <row r="34" ht="14.25" customHeight="1">
      <c r="A34" s="1391">
        <v>32.0</v>
      </c>
      <c r="B34" s="1392" t="s">
        <v>1788</v>
      </c>
      <c r="C34" s="1394" t="s">
        <v>1750</v>
      </c>
    </row>
    <row r="35" ht="14.25" customHeight="1">
      <c r="A35" s="1391">
        <v>33.0</v>
      </c>
      <c r="B35" s="1392" t="s">
        <v>1789</v>
      </c>
      <c r="C35" s="1394" t="s">
        <v>1771</v>
      </c>
    </row>
    <row r="36" ht="14.25" customHeight="1">
      <c r="A36" s="1391">
        <v>34.0</v>
      </c>
      <c r="B36" s="1392" t="s">
        <v>1790</v>
      </c>
      <c r="C36" s="1394" t="s">
        <v>1753</v>
      </c>
    </row>
    <row r="37" ht="14.25" customHeight="1">
      <c r="A37" s="1391">
        <v>35.0</v>
      </c>
      <c r="B37" s="1392" t="s">
        <v>1791</v>
      </c>
      <c r="C37" s="1394" t="s">
        <v>1747</v>
      </c>
    </row>
    <row r="38" ht="14.25" customHeight="1">
      <c r="A38" s="1391">
        <v>36.0</v>
      </c>
      <c r="B38" s="1392" t="s">
        <v>1792</v>
      </c>
      <c r="C38" s="1394" t="s">
        <v>1747</v>
      </c>
    </row>
    <row r="39" ht="14.25" customHeight="1">
      <c r="A39" s="1391">
        <v>37.0</v>
      </c>
      <c r="B39" s="1392" t="s">
        <v>1793</v>
      </c>
      <c r="C39" s="1394" t="s">
        <v>1794</v>
      </c>
    </row>
    <row r="40" ht="14.25" customHeight="1">
      <c r="A40" s="1391">
        <v>38.0</v>
      </c>
      <c r="B40" s="1392" t="s">
        <v>1795</v>
      </c>
      <c r="C40" s="1394" t="s">
        <v>1753</v>
      </c>
    </row>
    <row r="41" ht="14.25" customHeight="1">
      <c r="A41" s="1391">
        <v>39.0</v>
      </c>
      <c r="B41" s="1392" t="s">
        <v>1796</v>
      </c>
      <c r="C41" s="1394" t="s">
        <v>1771</v>
      </c>
    </row>
    <row r="42" ht="14.25" customHeight="1">
      <c r="A42" s="1391">
        <v>40.0</v>
      </c>
      <c r="B42" s="1392" t="s">
        <v>1797</v>
      </c>
      <c r="C42" s="1394" t="s">
        <v>1747</v>
      </c>
    </row>
    <row r="43" ht="14.25" customHeight="1">
      <c r="A43" s="1391">
        <v>41.0</v>
      </c>
      <c r="B43" s="1392" t="s">
        <v>1798</v>
      </c>
      <c r="C43" s="1394" t="s">
        <v>1753</v>
      </c>
    </row>
    <row r="44" ht="14.25" customHeight="1">
      <c r="A44" s="1391">
        <v>42.0</v>
      </c>
      <c r="B44" s="1392" t="s">
        <v>1799</v>
      </c>
      <c r="C44" s="1394" t="s">
        <v>1747</v>
      </c>
    </row>
    <row r="45" ht="14.25" customHeight="1">
      <c r="A45" s="1391">
        <v>43.0</v>
      </c>
      <c r="B45" s="1392" t="s">
        <v>1800</v>
      </c>
      <c r="C45" s="1394" t="s">
        <v>1801</v>
      </c>
    </row>
    <row r="46" ht="14.25" customHeight="1">
      <c r="A46" s="1391">
        <v>44.0</v>
      </c>
      <c r="B46" s="1392" t="s">
        <v>1802</v>
      </c>
      <c r="C46" s="1394" t="s">
        <v>1803</v>
      </c>
    </row>
    <row r="47" ht="14.25" customHeight="1">
      <c r="A47" s="1391">
        <v>45.0</v>
      </c>
      <c r="B47" s="1392" t="s">
        <v>1804</v>
      </c>
      <c r="C47" s="1394" t="s">
        <v>1805</v>
      </c>
      <c r="E47" s="1397" t="s">
        <v>1805</v>
      </c>
    </row>
    <row r="48" ht="14.25" customHeight="1">
      <c r="A48" s="1391">
        <v>46.0</v>
      </c>
      <c r="B48" s="1392" t="s">
        <v>1806</v>
      </c>
      <c r="C48" s="1394" t="s">
        <v>1807</v>
      </c>
      <c r="E48" s="1397" t="s">
        <v>1808</v>
      </c>
    </row>
    <row r="49" ht="14.25" customHeight="1">
      <c r="A49" s="1391">
        <v>47.0</v>
      </c>
      <c r="B49" s="1392" t="s">
        <v>1809</v>
      </c>
      <c r="C49" s="1394" t="s">
        <v>1810</v>
      </c>
      <c r="E49" s="1397" t="s">
        <v>1810</v>
      </c>
    </row>
    <row r="50" ht="14.25" customHeight="1">
      <c r="A50" s="1391">
        <v>48.0</v>
      </c>
      <c r="B50" s="1392" t="s">
        <v>1811</v>
      </c>
      <c r="C50" s="1394" t="s">
        <v>1812</v>
      </c>
      <c r="E50" s="1397" t="s">
        <v>1813</v>
      </c>
    </row>
    <row r="51" ht="14.25" customHeight="1">
      <c r="A51" s="1391">
        <v>49.0</v>
      </c>
      <c r="B51" s="1392" t="s">
        <v>1814</v>
      </c>
      <c r="C51" s="1394" t="s">
        <v>1755</v>
      </c>
      <c r="E51" s="1397" t="s">
        <v>1815</v>
      </c>
    </row>
    <row r="52" ht="14.25" customHeight="1">
      <c r="A52" s="1391">
        <v>50.0</v>
      </c>
      <c r="B52" s="1392" t="s">
        <v>1816</v>
      </c>
      <c r="C52" s="1394" t="s">
        <v>1760</v>
      </c>
      <c r="E52" s="1398" t="s">
        <v>1817</v>
      </c>
    </row>
    <row r="53" ht="14.25" customHeight="1">
      <c r="A53" s="1391">
        <v>51.0</v>
      </c>
      <c r="B53" s="1392" t="s">
        <v>1818</v>
      </c>
      <c r="C53" s="1395" t="s">
        <v>1747</v>
      </c>
    </row>
    <row r="54" ht="14.25" customHeight="1">
      <c r="A54" s="1391">
        <v>52.0</v>
      </c>
      <c r="B54" s="1392" t="s">
        <v>1819</v>
      </c>
      <c r="C54" s="1394" t="s">
        <v>1745</v>
      </c>
    </row>
    <row r="55" ht="14.25" customHeight="1">
      <c r="A55" s="1391">
        <v>53.0</v>
      </c>
      <c r="B55" s="1392" t="s">
        <v>1820</v>
      </c>
      <c r="C55" s="1394" t="s">
        <v>1771</v>
      </c>
    </row>
    <row r="56" ht="14.25" customHeight="1">
      <c r="A56" s="1391">
        <v>54.0</v>
      </c>
      <c r="B56" s="1392" t="s">
        <v>1821</v>
      </c>
      <c r="C56" s="1394" t="s">
        <v>1771</v>
      </c>
    </row>
    <row r="57" ht="14.25" customHeight="1">
      <c r="A57" s="1391">
        <v>55.0</v>
      </c>
      <c r="B57" s="1392" t="s">
        <v>1822</v>
      </c>
      <c r="C57" s="1394" t="s">
        <v>1823</v>
      </c>
    </row>
    <row r="58" ht="14.25" customHeight="1">
      <c r="A58" s="1391">
        <v>56.0</v>
      </c>
      <c r="B58" s="1392" t="s">
        <v>1824</v>
      </c>
      <c r="C58" s="1394" t="s">
        <v>1747</v>
      </c>
      <c r="E58" s="1399" t="s">
        <v>1825</v>
      </c>
    </row>
    <row r="59" ht="14.25" customHeight="1">
      <c r="A59" s="1400">
        <v>57.0</v>
      </c>
      <c r="B59" s="1401" t="s">
        <v>1826</v>
      </c>
      <c r="C59" s="1402" t="s">
        <v>1747</v>
      </c>
    </row>
    <row r="60" ht="14.25" customHeight="1">
      <c r="A60" s="1390" t="s">
        <v>479</v>
      </c>
      <c r="B60" s="28"/>
      <c r="C60" s="29"/>
    </row>
    <row r="61" ht="14.25" customHeight="1">
      <c r="A61" s="1403">
        <v>1.0</v>
      </c>
      <c r="B61" s="1404" t="s">
        <v>1827</v>
      </c>
      <c r="C61" s="1405" t="s">
        <v>1775</v>
      </c>
    </row>
    <row r="62" ht="14.25" customHeight="1">
      <c r="A62" s="1403">
        <v>2.0</v>
      </c>
      <c r="B62" s="1404" t="s">
        <v>1828</v>
      </c>
      <c r="C62" s="1405" t="s">
        <v>1747</v>
      </c>
    </row>
    <row r="63" ht="14.25" customHeight="1">
      <c r="A63" s="1403">
        <v>3.0</v>
      </c>
      <c r="B63" s="1404" t="s">
        <v>1829</v>
      </c>
      <c r="C63" s="1405" t="s">
        <v>1830</v>
      </c>
    </row>
    <row r="64" ht="14.25" customHeight="1">
      <c r="A64" s="1403">
        <v>4.0</v>
      </c>
      <c r="B64" s="1404" t="s">
        <v>1831</v>
      </c>
      <c r="C64" s="1405" t="s">
        <v>1830</v>
      </c>
    </row>
    <row r="65" ht="14.25" customHeight="1">
      <c r="A65" s="1403">
        <v>5.0</v>
      </c>
      <c r="B65" s="1404" t="s">
        <v>1832</v>
      </c>
      <c r="C65" s="1405" t="s">
        <v>1833</v>
      </c>
    </row>
    <row r="66" ht="14.25" customHeight="1">
      <c r="A66" s="1403">
        <v>6.0</v>
      </c>
      <c r="B66" s="1404" t="s">
        <v>1208</v>
      </c>
      <c r="C66" s="1405" t="s">
        <v>1747</v>
      </c>
    </row>
    <row r="67" ht="14.25" customHeight="1">
      <c r="A67" s="1403">
        <v>7.0</v>
      </c>
      <c r="B67" s="1404" t="s">
        <v>1834</v>
      </c>
      <c r="C67" s="1405" t="s">
        <v>1830</v>
      </c>
    </row>
    <row r="68" ht="14.25" customHeight="1">
      <c r="A68" s="1403">
        <v>8.0</v>
      </c>
      <c r="B68" s="1404" t="s">
        <v>1835</v>
      </c>
      <c r="C68" s="1405" t="s">
        <v>1747</v>
      </c>
    </row>
    <row r="69" ht="14.25" customHeight="1">
      <c r="A69" s="1403">
        <v>9.0</v>
      </c>
      <c r="B69" s="1404" t="s">
        <v>1836</v>
      </c>
      <c r="C69" s="1405" t="s">
        <v>1747</v>
      </c>
    </row>
    <row r="70" ht="14.25" customHeight="1">
      <c r="A70" s="1403">
        <v>10.0</v>
      </c>
      <c r="B70" s="1404" t="s">
        <v>1837</v>
      </c>
      <c r="C70" s="1405" t="s">
        <v>1747</v>
      </c>
    </row>
    <row r="71" ht="14.25" customHeight="1">
      <c r="A71" s="1403">
        <v>11.0</v>
      </c>
      <c r="B71" s="1404" t="s">
        <v>1838</v>
      </c>
      <c r="C71" s="1405" t="s">
        <v>1747</v>
      </c>
    </row>
    <row r="72" ht="14.25" customHeight="1">
      <c r="A72" s="1403">
        <v>12.0</v>
      </c>
      <c r="B72" s="1404" t="s">
        <v>1839</v>
      </c>
      <c r="C72" s="1405" t="s">
        <v>1747</v>
      </c>
    </row>
    <row r="73" ht="14.25" customHeight="1">
      <c r="A73" s="1403">
        <v>13.0</v>
      </c>
      <c r="B73" s="1404" t="s">
        <v>1840</v>
      </c>
      <c r="C73" s="1405" t="s">
        <v>1771</v>
      </c>
    </row>
    <row r="74" ht="14.25" customHeight="1">
      <c r="A74" s="1403">
        <v>14.0</v>
      </c>
      <c r="B74" s="1404" t="s">
        <v>1841</v>
      </c>
      <c r="C74" s="1405" t="s">
        <v>1842</v>
      </c>
    </row>
    <row r="75" ht="14.25" customHeight="1">
      <c r="A75" s="1403">
        <v>15.0</v>
      </c>
      <c r="B75" s="1404" t="s">
        <v>1756</v>
      </c>
      <c r="C75" s="1406" t="s">
        <v>1843</v>
      </c>
    </row>
    <row r="76" ht="14.25" customHeight="1">
      <c r="A76" s="1403">
        <v>16.0</v>
      </c>
      <c r="B76" s="1404" t="s">
        <v>1758</v>
      </c>
      <c r="C76" s="1406" t="s">
        <v>1843</v>
      </c>
    </row>
    <row r="77" ht="14.25" customHeight="1">
      <c r="A77" s="1403">
        <v>17.0</v>
      </c>
      <c r="B77" s="1404" t="s">
        <v>1844</v>
      </c>
      <c r="C77" s="1405" t="s">
        <v>1845</v>
      </c>
    </row>
    <row r="78" ht="14.25" customHeight="1">
      <c r="A78" s="1403">
        <v>18.0</v>
      </c>
      <c r="B78" s="1404" t="s">
        <v>1846</v>
      </c>
      <c r="C78" s="1405" t="s">
        <v>1847</v>
      </c>
    </row>
    <row r="79" ht="14.25" customHeight="1">
      <c r="A79" s="1403">
        <v>19.0</v>
      </c>
      <c r="B79" s="1404" t="s">
        <v>1848</v>
      </c>
      <c r="C79" s="1405" t="s">
        <v>1747</v>
      </c>
    </row>
    <row r="80" ht="14.25" customHeight="1">
      <c r="A80" s="1403">
        <v>20.0</v>
      </c>
      <c r="B80" s="1404" t="s">
        <v>1849</v>
      </c>
      <c r="C80" s="1405" t="s">
        <v>1747</v>
      </c>
    </row>
    <row r="81" ht="14.25" customHeight="1">
      <c r="A81" s="1403">
        <v>21.0</v>
      </c>
      <c r="B81" s="1404" t="s">
        <v>1850</v>
      </c>
      <c r="C81" s="1405" t="s">
        <v>1747</v>
      </c>
    </row>
    <row r="82" ht="14.25" customHeight="1">
      <c r="A82" s="1403">
        <v>22.0</v>
      </c>
      <c r="B82" s="1404" t="s">
        <v>1851</v>
      </c>
      <c r="C82" s="1405" t="s">
        <v>1750</v>
      </c>
    </row>
    <row r="83" ht="14.25" customHeight="1">
      <c r="A83" s="1403">
        <v>23.0</v>
      </c>
      <c r="B83" s="1404" t="s">
        <v>1852</v>
      </c>
      <c r="C83" s="1405" t="s">
        <v>1747</v>
      </c>
    </row>
    <row r="84" ht="14.25" customHeight="1">
      <c r="A84" s="1403">
        <v>24.0</v>
      </c>
      <c r="B84" s="1404" t="s">
        <v>1853</v>
      </c>
      <c r="C84" s="1405" t="s">
        <v>1750</v>
      </c>
    </row>
    <row r="85" ht="14.25" customHeight="1">
      <c r="A85" s="1403">
        <v>25.0</v>
      </c>
      <c r="B85" s="1404" t="s">
        <v>1854</v>
      </c>
      <c r="C85" s="1405" t="s">
        <v>1842</v>
      </c>
    </row>
    <row r="86" ht="14.25" customHeight="1">
      <c r="A86" s="1403">
        <v>26.0</v>
      </c>
      <c r="B86" s="1404" t="s">
        <v>1855</v>
      </c>
      <c r="C86" s="1405" t="s">
        <v>1830</v>
      </c>
    </row>
    <row r="87" ht="14.25" customHeight="1">
      <c r="A87" s="1403">
        <v>27.0</v>
      </c>
      <c r="B87" s="1404" t="s">
        <v>1856</v>
      </c>
      <c r="C87" s="1405" t="s">
        <v>1843</v>
      </c>
    </row>
    <row r="88" ht="14.25" customHeight="1">
      <c r="A88" s="1403">
        <v>28.0</v>
      </c>
      <c r="B88" s="1404" t="s">
        <v>1857</v>
      </c>
      <c r="C88" s="1405" t="s">
        <v>1858</v>
      </c>
    </row>
    <row r="89" ht="14.25" customHeight="1">
      <c r="A89" s="1403">
        <v>29.0</v>
      </c>
      <c r="B89" s="1404" t="s">
        <v>1859</v>
      </c>
      <c r="C89" s="1405" t="s">
        <v>1860</v>
      </c>
    </row>
    <row r="90" ht="14.25" customHeight="1">
      <c r="A90" s="1403">
        <v>30.0</v>
      </c>
      <c r="B90" s="1404" t="s">
        <v>1861</v>
      </c>
      <c r="C90" s="1405" t="s">
        <v>1862</v>
      </c>
    </row>
    <row r="91" ht="14.25" customHeight="1">
      <c r="A91" s="1403">
        <v>31.0</v>
      </c>
      <c r="B91" s="1404" t="s">
        <v>1863</v>
      </c>
      <c r="C91" s="1405" t="s">
        <v>1864</v>
      </c>
    </row>
    <row r="92" ht="14.25" customHeight="1">
      <c r="A92" s="1407">
        <v>32.0</v>
      </c>
      <c r="B92" s="1408" t="s">
        <v>549</v>
      </c>
      <c r="C92" s="1409" t="s">
        <v>1747</v>
      </c>
    </row>
    <row r="93" ht="14.25" customHeight="1">
      <c r="A93" s="1390" t="s">
        <v>1865</v>
      </c>
      <c r="B93" s="28"/>
      <c r="C93" s="29"/>
    </row>
    <row r="94" ht="14.25" customHeight="1">
      <c r="A94" s="1410">
        <v>1.0</v>
      </c>
      <c r="B94" s="1411" t="s">
        <v>1866</v>
      </c>
      <c r="C94" s="1406" t="s">
        <v>1747</v>
      </c>
    </row>
    <row r="95" ht="14.25" customHeight="1">
      <c r="A95" s="1410">
        <v>2.0</v>
      </c>
      <c r="B95" s="1411" t="s">
        <v>1867</v>
      </c>
      <c r="C95" s="1406" t="s">
        <v>1868</v>
      </c>
    </row>
    <row r="96" ht="14.25" customHeight="1">
      <c r="A96" s="1410">
        <v>3.0</v>
      </c>
      <c r="B96" s="1411" t="s">
        <v>1869</v>
      </c>
      <c r="C96" s="1406" t="s">
        <v>1803</v>
      </c>
    </row>
    <row r="97" ht="14.25" customHeight="1">
      <c r="A97" s="1410">
        <v>4.0</v>
      </c>
      <c r="B97" s="1411" t="s">
        <v>1870</v>
      </c>
      <c r="C97" s="1406" t="s">
        <v>1868</v>
      </c>
    </row>
    <row r="98" ht="14.25" customHeight="1">
      <c r="A98" s="1410">
        <v>5.0</v>
      </c>
      <c r="B98" s="1411" t="s">
        <v>1871</v>
      </c>
      <c r="C98" s="1406" t="s">
        <v>1872</v>
      </c>
    </row>
    <row r="99" ht="14.25" customHeight="1">
      <c r="A99" s="1410">
        <v>6.0</v>
      </c>
      <c r="B99" s="1411" t="s">
        <v>1873</v>
      </c>
      <c r="C99" s="1406" t="s">
        <v>1874</v>
      </c>
    </row>
    <row r="100" ht="14.25" customHeight="1">
      <c r="A100" s="1410">
        <v>7.0</v>
      </c>
      <c r="B100" s="1411" t="s">
        <v>1875</v>
      </c>
      <c r="C100" s="1406" t="s">
        <v>1876</v>
      </c>
    </row>
    <row r="101" ht="14.25" customHeight="1">
      <c r="A101" s="1412">
        <v>8.0</v>
      </c>
      <c r="B101" s="1413" t="s">
        <v>1877</v>
      </c>
      <c r="C101" s="1414" t="s">
        <v>1878</v>
      </c>
    </row>
    <row r="102" ht="14.25" customHeight="1">
      <c r="A102" s="813"/>
      <c r="B102" s="1142" t="s">
        <v>1879</v>
      </c>
      <c r="C102" s="1415" t="s">
        <v>1880</v>
      </c>
    </row>
  </sheetData>
  <mergeCells count="5">
    <mergeCell ref="A1:C1"/>
    <mergeCell ref="A2:C2"/>
    <mergeCell ref="A60:C60"/>
    <mergeCell ref="A93:C93"/>
    <mergeCell ref="E58:F58"/>
  </mergeCells>
  <printOptions/>
  <pageMargins bottom="0.787401575" footer="0.0" header="0.0" left="0.511811024" right="0.511811024" top="0.7874015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43"/>
    <col customWidth="1" min="2" max="2" width="23.0"/>
    <col customWidth="1" min="3" max="3" width="19.57"/>
    <col customWidth="1" min="4" max="4" width="21.86"/>
    <col customWidth="1" min="5" max="5" width="23.71"/>
    <col customWidth="1" min="6" max="6" width="21.0"/>
    <col customWidth="1" min="7" max="7" width="22.0"/>
  </cols>
  <sheetData>
    <row r="1" ht="14.25" customHeight="1">
      <c r="A1" s="1181" t="s">
        <v>913</v>
      </c>
      <c r="B1" s="34"/>
      <c r="C1" s="34"/>
      <c r="D1" s="34"/>
      <c r="E1" s="34"/>
      <c r="F1" s="34"/>
      <c r="G1" s="35"/>
    </row>
    <row r="2" ht="14.25" customHeight="1">
      <c r="A2" s="1182" t="s">
        <v>1563</v>
      </c>
      <c r="G2" s="571"/>
    </row>
    <row r="3" ht="14.25" customHeight="1">
      <c r="A3" s="1182" t="s">
        <v>915</v>
      </c>
      <c r="G3" s="571"/>
    </row>
    <row r="4" ht="14.25" customHeight="1">
      <c r="A4" s="1183"/>
      <c r="B4" s="1184"/>
      <c r="C4" s="1184"/>
      <c r="D4" s="1184"/>
      <c r="E4" s="1184"/>
      <c r="F4" s="1184"/>
      <c r="G4" s="1185"/>
    </row>
    <row r="5" ht="14.25" customHeight="1">
      <c r="A5" s="1186" t="s">
        <v>1564</v>
      </c>
      <c r="B5" s="1187" t="s">
        <v>1565</v>
      </c>
      <c r="G5" s="1188"/>
    </row>
    <row r="6" ht="14.25" customHeight="1">
      <c r="A6" s="1186" t="s">
        <v>1566</v>
      </c>
      <c r="B6" s="1039"/>
      <c r="F6" s="1189"/>
      <c r="G6" s="1190"/>
    </row>
    <row r="7" ht="14.25" customHeight="1">
      <c r="A7" s="1191" t="s">
        <v>1568</v>
      </c>
      <c r="B7" s="1192" t="s">
        <v>1881</v>
      </c>
      <c r="C7" s="1192"/>
      <c r="D7" s="1192"/>
      <c r="E7" s="1192"/>
      <c r="F7" s="1193" t="s">
        <v>1469</v>
      </c>
      <c r="G7" s="1194" t="s">
        <v>1570</v>
      </c>
    </row>
    <row r="8" ht="14.25" customHeight="1">
      <c r="A8" s="1416" t="s">
        <v>1571</v>
      </c>
      <c r="B8" s="1327" t="s">
        <v>30</v>
      </c>
      <c r="C8" s="1327"/>
      <c r="D8" s="1327"/>
      <c r="E8" s="1327"/>
      <c r="F8" s="1196"/>
      <c r="G8" s="1197"/>
    </row>
    <row r="9" ht="14.25" customHeight="1">
      <c r="A9" s="1198" t="s">
        <v>1572</v>
      </c>
      <c r="B9" s="28"/>
      <c r="C9" s="28"/>
      <c r="D9" s="28"/>
      <c r="E9" s="28"/>
      <c r="F9" s="28"/>
      <c r="G9" s="29"/>
    </row>
    <row r="10" ht="14.25" customHeight="1">
      <c r="A10" s="1199" t="s">
        <v>1573</v>
      </c>
      <c r="B10" s="1200" t="s">
        <v>1574</v>
      </c>
      <c r="C10" s="28"/>
      <c r="D10" s="28"/>
      <c r="E10" s="28"/>
      <c r="F10" s="28"/>
      <c r="G10" s="29"/>
    </row>
    <row r="11" ht="14.25" customHeight="1">
      <c r="A11" s="1201"/>
      <c r="B11" s="1202"/>
      <c r="C11" s="1202"/>
      <c r="D11" s="1202"/>
      <c r="E11" s="1202"/>
      <c r="F11" s="1202"/>
      <c r="G11" s="1203"/>
    </row>
    <row r="12" ht="14.25" customHeight="1">
      <c r="A12" s="1199" t="s">
        <v>43</v>
      </c>
      <c r="B12" s="1200" t="s">
        <v>45</v>
      </c>
      <c r="C12" s="28"/>
      <c r="D12" s="28"/>
      <c r="E12" s="28"/>
      <c r="F12" s="28"/>
      <c r="G12" s="29"/>
    </row>
    <row r="13" ht="14.25" customHeight="1">
      <c r="A13" s="1204"/>
      <c r="B13" s="1205"/>
      <c r="C13" s="1205"/>
      <c r="D13" s="1205"/>
      <c r="E13" s="1205"/>
      <c r="F13" s="1205"/>
      <c r="G13" s="1206"/>
    </row>
    <row r="14" ht="14.25" customHeight="1">
      <c r="A14" s="1199" t="s">
        <v>1575</v>
      </c>
      <c r="B14" s="1200" t="s">
        <v>1576</v>
      </c>
      <c r="C14" s="28"/>
      <c r="D14" s="28"/>
      <c r="E14" s="28"/>
      <c r="F14" s="28"/>
      <c r="G14" s="29"/>
    </row>
    <row r="15" ht="14.25" customHeight="1">
      <c r="A15" s="1281" t="s">
        <v>1577</v>
      </c>
      <c r="B15" s="1259"/>
      <c r="C15" s="1259"/>
      <c r="D15" s="1259"/>
      <c r="E15" s="1259"/>
      <c r="F15" s="1259"/>
      <c r="G15" s="1260"/>
    </row>
    <row r="16" ht="14.25" customHeight="1">
      <c r="A16" s="1208" t="s">
        <v>1578</v>
      </c>
      <c r="B16" s="561"/>
      <c r="C16" s="561"/>
      <c r="D16" s="561"/>
      <c r="E16" s="561"/>
      <c r="F16" s="561"/>
      <c r="G16" s="124"/>
    </row>
    <row r="17" ht="14.25" customHeight="1">
      <c r="A17" s="1417"/>
      <c r="B17" s="1418"/>
      <c r="C17" s="1419" t="s">
        <v>1579</v>
      </c>
      <c r="D17" s="1420" t="s">
        <v>1580</v>
      </c>
      <c r="E17" s="561"/>
      <c r="F17" s="561"/>
      <c r="G17" s="124"/>
    </row>
    <row r="18" ht="25.5" customHeight="1">
      <c r="A18" s="1421"/>
      <c r="B18" s="1418"/>
      <c r="C18" s="1214" t="str">
        <f>2.5*5</f>
        <v>12.50</v>
      </c>
      <c r="D18" s="1422" t="s">
        <v>1581</v>
      </c>
      <c r="E18" s="561"/>
      <c r="F18" s="561"/>
      <c r="G18" s="124"/>
    </row>
    <row r="19" ht="14.25" customHeight="1">
      <c r="A19" s="1423" t="s">
        <v>1467</v>
      </c>
      <c r="B19" s="712"/>
      <c r="C19" s="1424" t="str">
        <f>SUM(C18)</f>
        <v>12.50</v>
      </c>
      <c r="D19" s="1425"/>
      <c r="E19" s="127"/>
      <c r="F19" s="127"/>
      <c r="G19" s="128"/>
    </row>
    <row r="20" ht="14.25" customHeight="1">
      <c r="A20" s="1204"/>
      <c r="B20" s="1219"/>
      <c r="C20" s="1220"/>
      <c r="D20" s="1221"/>
      <c r="E20" s="1221"/>
      <c r="F20" s="1221"/>
      <c r="G20" s="1222"/>
    </row>
    <row r="21" ht="14.25" customHeight="1">
      <c r="A21" s="1199" t="s">
        <v>1582</v>
      </c>
      <c r="B21" s="1200" t="s">
        <v>1583</v>
      </c>
      <c r="C21" s="28"/>
      <c r="D21" s="28"/>
      <c r="E21" s="28"/>
      <c r="F21" s="28"/>
      <c r="G21" s="29"/>
    </row>
    <row r="22" ht="14.25" customHeight="1">
      <c r="A22" s="1223" t="s">
        <v>1577</v>
      </c>
      <c r="B22" s="561"/>
      <c r="C22" s="561"/>
      <c r="D22" s="561"/>
      <c r="E22" s="561"/>
      <c r="F22" s="561"/>
      <c r="G22" s="124"/>
    </row>
    <row r="23" ht="14.25" customHeight="1">
      <c r="A23" s="1224" t="s">
        <v>1584</v>
      </c>
      <c r="B23" s="854"/>
      <c r="C23" s="854"/>
      <c r="D23" s="854"/>
      <c r="E23" s="854"/>
      <c r="F23" s="854"/>
      <c r="G23" s="855"/>
    </row>
    <row r="24" ht="14.25" customHeight="1">
      <c r="A24" s="1426" t="s">
        <v>1585</v>
      </c>
      <c r="B24" s="1427" t="s">
        <v>1586</v>
      </c>
      <c r="C24" s="1428" t="s">
        <v>1587</v>
      </c>
      <c r="D24" s="1427" t="s">
        <v>1588</v>
      </c>
      <c r="E24" s="1429" t="s">
        <v>1580</v>
      </c>
      <c r="F24" s="561"/>
      <c r="G24" s="124"/>
    </row>
    <row r="25" ht="14.25" customHeight="1">
      <c r="A25" s="1229"/>
      <c r="B25" s="1230"/>
      <c r="C25" s="1231"/>
      <c r="D25" s="1230"/>
      <c r="E25" s="1232" t="s">
        <v>1590</v>
      </c>
      <c r="F25" s="561"/>
      <c r="G25" s="124"/>
    </row>
    <row r="26" ht="14.25" customHeight="1">
      <c r="A26" s="1430" t="s">
        <v>1467</v>
      </c>
      <c r="B26" s="127"/>
      <c r="C26" s="712"/>
      <c r="D26" s="1431" t="str">
        <f>D25</f>
        <v/>
      </c>
      <c r="E26" s="1431"/>
      <c r="F26" s="1431"/>
      <c r="G26" s="1432"/>
    </row>
    <row r="27" ht="14.25" customHeight="1">
      <c r="A27" s="1237"/>
      <c r="B27" s="1238"/>
      <c r="C27" s="1238"/>
      <c r="D27" s="1239"/>
      <c r="E27" s="1239"/>
      <c r="F27" s="1239"/>
      <c r="G27" s="1240"/>
    </row>
    <row r="28" ht="14.25" customHeight="1">
      <c r="A28" s="1241" t="s">
        <v>1591</v>
      </c>
      <c r="B28" s="1242" t="s">
        <v>1592</v>
      </c>
      <c r="C28" s="613"/>
      <c r="D28" s="613"/>
      <c r="E28" s="613"/>
      <c r="F28" s="613"/>
      <c r="G28" s="1243"/>
    </row>
    <row r="29" ht="14.25" customHeight="1">
      <c r="A29" s="1223" t="s">
        <v>1577</v>
      </c>
      <c r="B29" s="561"/>
      <c r="C29" s="561"/>
      <c r="D29" s="561"/>
      <c r="E29" s="561"/>
      <c r="F29" s="561"/>
      <c r="G29" s="124"/>
    </row>
    <row r="30" ht="14.25" customHeight="1">
      <c r="A30" s="1244" t="s">
        <v>1584</v>
      </c>
      <c r="B30" s="561"/>
      <c r="C30" s="561"/>
      <c r="D30" s="561"/>
      <c r="E30" s="561"/>
      <c r="F30" s="561"/>
      <c r="G30" s="124"/>
    </row>
    <row r="31" ht="14.25" customHeight="1">
      <c r="A31" s="1433" t="s">
        <v>1593</v>
      </c>
      <c r="B31" s="1434" t="s">
        <v>1594</v>
      </c>
      <c r="C31" s="1247"/>
      <c r="D31" s="1435" t="s">
        <v>1588</v>
      </c>
      <c r="E31" s="1434" t="s">
        <v>1580</v>
      </c>
      <c r="F31" s="1249"/>
      <c r="G31" s="1250"/>
    </row>
    <row r="32" ht="14.25" customHeight="1">
      <c r="A32" s="1251" t="s">
        <v>1595</v>
      </c>
      <c r="B32" s="1252" t="s">
        <v>1596</v>
      </c>
      <c r="C32" s="41"/>
      <c r="D32" s="1253" t="str">
        <f>4.25*3.2</f>
        <v>13.60</v>
      </c>
      <c r="E32" s="1254" t="s">
        <v>1597</v>
      </c>
      <c r="F32" s="854"/>
      <c r="G32" s="855"/>
    </row>
    <row r="33" ht="14.25" customHeight="1">
      <c r="A33" s="1255" t="s">
        <v>1598</v>
      </c>
      <c r="B33" s="1256" t="s">
        <v>1599</v>
      </c>
      <c r="C33" s="41"/>
      <c r="D33" s="1257" t="str">
        <f>3*3</f>
        <v>9.00</v>
      </c>
      <c r="E33" s="1258"/>
      <c r="G33" s="571"/>
    </row>
    <row r="34" ht="14.25" customHeight="1">
      <c r="A34" s="1255" t="s">
        <v>1600</v>
      </c>
      <c r="B34" s="1256" t="s">
        <v>1601</v>
      </c>
      <c r="C34" s="41"/>
      <c r="D34" s="1257" t="str">
        <f t="shared" ref="D34:D35" si="1">(4.25*5.5)</f>
        <v>23.38</v>
      </c>
      <c r="E34" s="1258"/>
      <c r="G34" s="571"/>
    </row>
    <row r="35" ht="14.25" customHeight="1">
      <c r="A35" s="1255" t="s">
        <v>1602</v>
      </c>
      <c r="B35" s="1256" t="s">
        <v>1603</v>
      </c>
      <c r="C35" s="41"/>
      <c r="D35" s="1257" t="str">
        <f t="shared" si="1"/>
        <v>23.38</v>
      </c>
      <c r="E35" s="38"/>
      <c r="F35" s="1259"/>
      <c r="G35" s="1260"/>
    </row>
    <row r="36" ht="14.25" customHeight="1">
      <c r="A36" s="1436"/>
      <c r="B36" s="1437"/>
      <c r="C36" s="1438" t="s">
        <v>1467</v>
      </c>
      <c r="D36" s="1325" t="str">
        <f>SUM(D32:D35)</f>
        <v>69.35</v>
      </c>
      <c r="E36" s="1439"/>
      <c r="F36" s="1440"/>
      <c r="G36" s="1441"/>
    </row>
    <row r="37" ht="14.25" customHeight="1">
      <c r="A37" s="1268"/>
      <c r="B37" s="1269"/>
      <c r="C37" s="1270"/>
      <c r="D37" s="129"/>
      <c r="E37" s="129"/>
      <c r="F37" s="129"/>
      <c r="G37" s="1271"/>
    </row>
    <row r="38" ht="14.25" customHeight="1">
      <c r="A38" s="1199" t="s">
        <v>1604</v>
      </c>
      <c r="B38" s="1200" t="s">
        <v>1605</v>
      </c>
      <c r="C38" s="28"/>
      <c r="D38" s="28"/>
      <c r="E38" s="28"/>
      <c r="F38" s="28"/>
      <c r="G38" s="29"/>
    </row>
    <row r="39" ht="14.25" customHeight="1">
      <c r="A39" s="1223" t="s">
        <v>1577</v>
      </c>
      <c r="B39" s="561"/>
      <c r="C39" s="561"/>
      <c r="D39" s="561"/>
      <c r="E39" s="561"/>
      <c r="F39" s="561"/>
      <c r="G39" s="124"/>
    </row>
    <row r="40" ht="14.25" customHeight="1">
      <c r="A40" s="1272" t="s">
        <v>1606</v>
      </c>
      <c r="B40" s="127"/>
      <c r="C40" s="127"/>
      <c r="D40" s="127"/>
      <c r="E40" s="127"/>
      <c r="F40" s="127"/>
      <c r="G40" s="128"/>
    </row>
    <row r="41" ht="14.25" customHeight="1">
      <c r="A41" s="1268"/>
      <c r="B41" s="1269"/>
      <c r="C41" s="1270"/>
      <c r="D41" s="129"/>
      <c r="E41" s="129"/>
      <c r="F41" s="129"/>
      <c r="G41" s="1271"/>
    </row>
    <row r="42" ht="14.25" customHeight="1">
      <c r="A42" s="1199" t="s">
        <v>1607</v>
      </c>
      <c r="B42" s="1200" t="s">
        <v>1608</v>
      </c>
      <c r="C42" s="28"/>
      <c r="D42" s="28"/>
      <c r="E42" s="28"/>
      <c r="F42" s="28"/>
      <c r="G42" s="29"/>
    </row>
    <row r="43" ht="14.25" customHeight="1">
      <c r="A43" s="1223" t="s">
        <v>1577</v>
      </c>
      <c r="B43" s="561"/>
      <c r="C43" s="561"/>
      <c r="D43" s="561"/>
      <c r="E43" s="561"/>
      <c r="F43" s="561"/>
      <c r="G43" s="124"/>
    </row>
    <row r="44" ht="14.25" customHeight="1">
      <c r="A44" s="1272" t="s">
        <v>1606</v>
      </c>
      <c r="B44" s="127"/>
      <c r="C44" s="127"/>
      <c r="D44" s="127"/>
      <c r="E44" s="127"/>
      <c r="F44" s="127"/>
      <c r="G44" s="128"/>
    </row>
    <row r="45" ht="14.25" customHeight="1">
      <c r="A45" s="1268"/>
      <c r="B45" s="1269"/>
      <c r="C45" s="1270"/>
      <c r="D45" s="129"/>
      <c r="E45" s="129"/>
      <c r="F45" s="129"/>
      <c r="G45" s="1271"/>
    </row>
    <row r="46" ht="14.25" customHeight="1">
      <c r="A46" s="1199" t="s">
        <v>1609</v>
      </c>
      <c r="B46" s="1200" t="s">
        <v>1610</v>
      </c>
      <c r="C46" s="28"/>
      <c r="D46" s="28"/>
      <c r="E46" s="28"/>
      <c r="F46" s="28"/>
      <c r="G46" s="29"/>
    </row>
    <row r="47" ht="14.25" customHeight="1">
      <c r="A47" s="1207" t="s">
        <v>1577</v>
      </c>
      <c r="B47" s="107"/>
      <c r="C47" s="107"/>
      <c r="D47" s="107"/>
      <c r="E47" s="107"/>
      <c r="F47" s="107"/>
      <c r="G47" s="781"/>
    </row>
    <row r="48" ht="14.25" customHeight="1">
      <c r="A48" s="1244" t="s">
        <v>1584</v>
      </c>
      <c r="B48" s="561"/>
      <c r="C48" s="561"/>
      <c r="D48" s="561"/>
      <c r="E48" s="561"/>
      <c r="F48" s="561"/>
      <c r="G48" s="124"/>
    </row>
    <row r="49" ht="14.25" customHeight="1">
      <c r="A49" s="1433" t="s">
        <v>1585</v>
      </c>
      <c r="B49" s="1434" t="s">
        <v>1586</v>
      </c>
      <c r="C49" s="1247"/>
      <c r="D49" s="1435" t="s">
        <v>1588</v>
      </c>
      <c r="E49" s="1434" t="s">
        <v>1580</v>
      </c>
      <c r="F49" s="1249"/>
      <c r="G49" s="1250"/>
    </row>
    <row r="50" ht="14.25" customHeight="1">
      <c r="A50" s="1273"/>
      <c r="B50" s="1274"/>
      <c r="C50" s="41"/>
      <c r="D50" s="1230"/>
      <c r="E50" s="1232" t="s">
        <v>1882</v>
      </c>
      <c r="F50" s="561"/>
      <c r="G50" s="124"/>
    </row>
    <row r="51" ht="14.25" customHeight="1">
      <c r="A51" s="1276"/>
      <c r="B51" s="1277"/>
      <c r="C51" s="1277"/>
      <c r="D51" s="1277"/>
      <c r="E51" s="1277"/>
      <c r="F51" s="1277"/>
      <c r="G51" s="1278"/>
    </row>
    <row r="52" ht="14.25" customHeight="1">
      <c r="A52" s="1199" t="s">
        <v>1612</v>
      </c>
      <c r="B52" s="1200" t="s">
        <v>1613</v>
      </c>
      <c r="C52" s="28"/>
      <c r="D52" s="28"/>
      <c r="E52" s="28"/>
      <c r="F52" s="28"/>
      <c r="G52" s="29"/>
    </row>
    <row r="53" ht="14.25" customHeight="1">
      <c r="A53" s="1223" t="s">
        <v>1577</v>
      </c>
      <c r="B53" s="561"/>
      <c r="C53" s="561"/>
      <c r="D53" s="561"/>
      <c r="E53" s="561"/>
      <c r="F53" s="561"/>
      <c r="G53" s="124"/>
    </row>
    <row r="54" ht="14.25" customHeight="1">
      <c r="A54" s="1272" t="s">
        <v>1614</v>
      </c>
      <c r="B54" s="127"/>
      <c r="C54" s="127"/>
      <c r="D54" s="127"/>
      <c r="E54" s="127"/>
      <c r="F54" s="127"/>
      <c r="G54" s="128"/>
    </row>
    <row r="55" ht="14.25" customHeight="1">
      <c r="A55" s="1279"/>
      <c r="B55" s="1280"/>
      <c r="C55" s="1270"/>
      <c r="D55" s="129"/>
      <c r="E55" s="129"/>
      <c r="F55" s="129"/>
      <c r="G55" s="1271"/>
    </row>
    <row r="56" ht="14.25" customHeight="1">
      <c r="A56" s="1199" t="s">
        <v>1883</v>
      </c>
      <c r="B56" s="1200" t="s">
        <v>1884</v>
      </c>
      <c r="C56" s="28"/>
      <c r="D56" s="28"/>
      <c r="E56" s="28"/>
      <c r="F56" s="28"/>
      <c r="G56" s="29"/>
    </row>
    <row r="57" ht="14.25" customHeight="1">
      <c r="A57" s="1223" t="s">
        <v>1577</v>
      </c>
      <c r="B57" s="561"/>
      <c r="C57" s="561"/>
      <c r="D57" s="561"/>
      <c r="E57" s="561"/>
      <c r="F57" s="561"/>
      <c r="G57" s="124"/>
    </row>
    <row r="58" ht="14.25" customHeight="1">
      <c r="A58" s="1208" t="s">
        <v>1885</v>
      </c>
      <c r="B58" s="561"/>
      <c r="C58" s="561"/>
      <c r="D58" s="561"/>
      <c r="E58" s="561"/>
      <c r="F58" s="561"/>
      <c r="G58" s="124"/>
    </row>
    <row r="59" ht="14.25" customHeight="1">
      <c r="A59" s="1279"/>
      <c r="B59" s="1280"/>
      <c r="C59" s="1270"/>
      <c r="D59" s="129"/>
      <c r="E59" s="129"/>
      <c r="F59" s="129"/>
      <c r="G59" s="1271"/>
    </row>
    <row r="60" ht="14.25" customHeight="1">
      <c r="A60" s="1279"/>
      <c r="B60" s="1280"/>
      <c r="C60" s="1270"/>
      <c r="D60" s="129"/>
      <c r="E60" s="129"/>
      <c r="F60" s="129"/>
      <c r="G60" s="1271"/>
    </row>
    <row r="61" ht="14.25" customHeight="1">
      <c r="A61" s="1279"/>
      <c r="B61" s="1280"/>
      <c r="C61" s="1270"/>
      <c r="D61" s="129"/>
      <c r="E61" s="129"/>
      <c r="F61" s="129"/>
      <c r="G61" s="1271"/>
    </row>
    <row r="62" ht="14.25" customHeight="1">
      <c r="A62" s="1279"/>
      <c r="B62" s="1280"/>
      <c r="C62" s="1270"/>
      <c r="D62" s="129"/>
      <c r="E62" s="129"/>
      <c r="F62" s="129"/>
      <c r="G62" s="1271"/>
    </row>
    <row r="63" ht="14.25" customHeight="1">
      <c r="A63" s="1279"/>
      <c r="B63" s="1280"/>
      <c r="C63" s="1270"/>
      <c r="D63" s="129"/>
      <c r="E63" s="129"/>
      <c r="F63" s="129"/>
      <c r="G63" s="1271"/>
    </row>
    <row r="64" ht="14.25" customHeight="1">
      <c r="A64" s="1279"/>
      <c r="B64" s="1280"/>
      <c r="C64" s="1270"/>
      <c r="D64" s="129"/>
      <c r="E64" s="129"/>
      <c r="F64" s="129"/>
      <c r="G64" s="1271"/>
    </row>
    <row r="65" ht="14.25" customHeight="1">
      <c r="A65" s="1279"/>
      <c r="B65" s="1280"/>
      <c r="C65" s="1270"/>
      <c r="D65" s="129"/>
      <c r="E65" s="129"/>
      <c r="F65" s="129"/>
      <c r="G65" s="1271"/>
    </row>
    <row r="66" ht="14.25" customHeight="1">
      <c r="A66" s="1279"/>
      <c r="B66" s="1280"/>
      <c r="C66" s="1270"/>
      <c r="D66" s="129"/>
      <c r="E66" s="129"/>
      <c r="F66" s="129"/>
      <c r="G66" s="1271"/>
    </row>
    <row r="67" ht="14.25" customHeight="1">
      <c r="A67" s="1279"/>
      <c r="B67" s="1280"/>
      <c r="C67" s="1270"/>
      <c r="D67" s="129"/>
      <c r="E67" s="129"/>
      <c r="F67" s="129"/>
      <c r="G67" s="1271"/>
    </row>
    <row r="68" ht="14.25" customHeight="1">
      <c r="A68" s="1279"/>
      <c r="B68" s="1280"/>
      <c r="C68" s="1270"/>
      <c r="D68" s="129"/>
      <c r="E68" s="1442" t="s">
        <v>1886</v>
      </c>
      <c r="G68" s="1271"/>
    </row>
    <row r="69" ht="14.25" customHeight="1">
      <c r="A69" s="1426" t="s">
        <v>1593</v>
      </c>
      <c r="B69" s="1429" t="s">
        <v>1585</v>
      </c>
      <c r="C69" s="41"/>
      <c r="D69" s="1427" t="s">
        <v>1887</v>
      </c>
      <c r="E69" s="1429" t="s">
        <v>1580</v>
      </c>
      <c r="F69" s="561"/>
      <c r="G69" s="124"/>
    </row>
    <row r="70" ht="24.0" customHeight="1">
      <c r="A70" s="1251" t="s">
        <v>1888</v>
      </c>
      <c r="B70" s="1252" t="s">
        <v>1889</v>
      </c>
      <c r="C70" s="41"/>
      <c r="D70" s="1214" t="str">
        <f>17.25+7.8+7.5+8.75+9.65+1.35+4.15+5+3.35+2.35+3.65+1.45+4.65+1.35</f>
        <v>78.25</v>
      </c>
      <c r="E70" s="1254" t="s">
        <v>1890</v>
      </c>
      <c r="F70" s="854"/>
      <c r="G70" s="855"/>
    </row>
    <row r="71" ht="14.25" customHeight="1">
      <c r="A71" s="1443"/>
      <c r="B71" s="1444"/>
      <c r="C71" s="1445" t="s">
        <v>1467</v>
      </c>
      <c r="D71" s="1446" t="str">
        <f>ROUNDUP(D70,2)</f>
        <v>78.25</v>
      </c>
      <c r="E71" s="1447"/>
      <c r="F71" s="1448"/>
      <c r="G71" s="1449"/>
    </row>
    <row r="72" ht="14.25" customHeight="1">
      <c r="A72" s="1450"/>
      <c r="B72" s="1451"/>
      <c r="C72" s="1452"/>
      <c r="D72" s="1453"/>
      <c r="E72" s="1454"/>
      <c r="F72" s="1454"/>
      <c r="G72" s="1455"/>
    </row>
    <row r="73" ht="14.25" customHeight="1">
      <c r="A73" s="1199" t="s">
        <v>1615</v>
      </c>
      <c r="B73" s="1200" t="s">
        <v>87</v>
      </c>
      <c r="C73" s="28"/>
      <c r="D73" s="28"/>
      <c r="E73" s="28"/>
      <c r="F73" s="28"/>
      <c r="G73" s="29"/>
    </row>
    <row r="74" ht="14.25" customHeight="1">
      <c r="A74" s="1456"/>
      <c r="B74" s="1280"/>
      <c r="C74" s="1270"/>
      <c r="D74" s="1289"/>
      <c r="E74" s="1457"/>
      <c r="F74" s="1457"/>
      <c r="G74" s="1458"/>
    </row>
    <row r="75" ht="14.25" customHeight="1">
      <c r="A75" s="1199" t="s">
        <v>1625</v>
      </c>
      <c r="B75" s="1200" t="s">
        <v>1891</v>
      </c>
      <c r="C75" s="28"/>
      <c r="D75" s="28"/>
      <c r="E75" s="28"/>
      <c r="F75" s="28"/>
      <c r="G75" s="29"/>
    </row>
    <row r="76" ht="14.25" customHeight="1">
      <c r="A76" s="1456"/>
      <c r="B76" s="1280"/>
      <c r="C76" s="1270"/>
      <c r="D76" s="1289"/>
      <c r="E76" s="1457"/>
      <c r="F76" s="1457"/>
      <c r="G76" s="1458"/>
    </row>
    <row r="77" ht="14.25" customHeight="1">
      <c r="A77" s="1199" t="s">
        <v>1892</v>
      </c>
      <c r="B77" s="1200" t="s">
        <v>332</v>
      </c>
      <c r="C77" s="28"/>
      <c r="D77" s="28"/>
      <c r="E77" s="28"/>
      <c r="F77" s="28"/>
      <c r="G77" s="29"/>
    </row>
    <row r="78" ht="14.25" customHeight="1">
      <c r="A78" s="1456"/>
      <c r="B78" s="1280"/>
      <c r="C78" s="1270"/>
      <c r="D78" s="1289"/>
      <c r="E78" s="1457"/>
      <c r="F78" s="1457"/>
      <c r="G78" s="1458"/>
    </row>
    <row r="79" ht="14.25" customHeight="1">
      <c r="A79" s="1199" t="s">
        <v>1893</v>
      </c>
      <c r="B79" s="1200" t="s">
        <v>1894</v>
      </c>
      <c r="C79" s="28"/>
      <c r="D79" s="28"/>
      <c r="E79" s="28"/>
      <c r="F79" s="28"/>
      <c r="G79" s="29"/>
    </row>
    <row r="80" ht="14.25" customHeight="1">
      <c r="A80" s="1456"/>
      <c r="B80" s="1280"/>
      <c r="C80" s="1270"/>
      <c r="D80" s="1289"/>
      <c r="E80" s="1457"/>
      <c r="F80" s="1457"/>
      <c r="G80" s="1458"/>
    </row>
    <row r="81" ht="14.25" customHeight="1">
      <c r="A81" s="1199" t="s">
        <v>1895</v>
      </c>
      <c r="B81" s="1200" t="s">
        <v>1896</v>
      </c>
      <c r="C81" s="28"/>
      <c r="D81" s="28"/>
      <c r="E81" s="28"/>
      <c r="F81" s="28"/>
      <c r="G81" s="29"/>
    </row>
    <row r="82" ht="14.25" customHeight="1">
      <c r="A82" s="1199" t="s">
        <v>205</v>
      </c>
      <c r="B82" s="1200" t="s">
        <v>1897</v>
      </c>
      <c r="C82" s="28"/>
      <c r="D82" s="28"/>
      <c r="E82" s="28"/>
      <c r="F82" s="28"/>
      <c r="G82" s="29"/>
    </row>
    <row r="83" ht="14.25" customHeight="1">
      <c r="A83" s="1276"/>
      <c r="G83" s="571"/>
    </row>
    <row r="84" ht="14.25" customHeight="1">
      <c r="A84" s="1459"/>
      <c r="B84" s="1460"/>
      <c r="C84" s="1460"/>
      <c r="D84" s="1460"/>
      <c r="E84" s="1460"/>
      <c r="F84" s="1460"/>
      <c r="G84" s="1461"/>
    </row>
    <row r="85" ht="14.25" customHeight="1">
      <c r="A85" s="1459"/>
      <c r="B85" s="1460"/>
      <c r="C85" s="1460"/>
      <c r="D85" s="1460"/>
      <c r="E85" s="1460"/>
      <c r="F85" s="1460"/>
      <c r="G85" s="1461"/>
    </row>
    <row r="86" ht="14.25" customHeight="1">
      <c r="A86" s="1459"/>
      <c r="B86" s="1460"/>
      <c r="C86" s="1460"/>
      <c r="D86" s="1460"/>
      <c r="E86" s="1460"/>
      <c r="F86" s="1460"/>
      <c r="G86" s="1461"/>
    </row>
    <row r="87" ht="14.25" customHeight="1">
      <c r="A87" s="1459"/>
      <c r="B87" s="1460"/>
      <c r="C87" s="1460"/>
      <c r="D87" s="1460"/>
      <c r="E87" s="1460"/>
      <c r="F87" s="1460"/>
      <c r="G87" s="1461"/>
    </row>
    <row r="88" ht="14.25" customHeight="1">
      <c r="A88" s="1459"/>
      <c r="B88" s="1460"/>
      <c r="C88" s="1460"/>
      <c r="D88" s="1460"/>
      <c r="E88" s="1460"/>
      <c r="F88" s="1460"/>
      <c r="G88" s="1461"/>
    </row>
    <row r="89" ht="14.25" customHeight="1">
      <c r="A89" s="1459"/>
      <c r="B89" s="1460"/>
      <c r="C89" s="1460"/>
      <c r="D89" s="1460"/>
      <c r="E89" s="1460"/>
      <c r="F89" s="1460"/>
      <c r="G89" s="1461"/>
    </row>
    <row r="90" ht="14.25" customHeight="1">
      <c r="A90" s="1459"/>
      <c r="B90" s="1460"/>
      <c r="C90" s="1460"/>
      <c r="D90" s="1460"/>
      <c r="E90" s="1460"/>
      <c r="F90" s="1460"/>
      <c r="G90" s="1461"/>
    </row>
    <row r="91" ht="14.25" customHeight="1">
      <c r="A91" s="1459"/>
      <c r="B91" s="1460"/>
      <c r="C91" s="1460"/>
      <c r="D91" s="1460"/>
      <c r="E91" s="1460"/>
      <c r="F91" s="1460"/>
      <c r="G91" s="1461"/>
    </row>
    <row r="92" ht="14.25" customHeight="1">
      <c r="A92" s="1459"/>
      <c r="B92" s="1460"/>
      <c r="C92" s="1460"/>
      <c r="D92" s="1460"/>
      <c r="E92" s="1460"/>
      <c r="F92" s="1460"/>
      <c r="G92" s="1461"/>
    </row>
    <row r="93" ht="14.25" customHeight="1">
      <c r="A93" s="1459"/>
      <c r="B93" s="1460"/>
      <c r="C93" s="1460"/>
      <c r="D93" s="1460"/>
      <c r="E93" s="1460"/>
      <c r="F93" s="1460"/>
      <c r="G93" s="1461"/>
    </row>
    <row r="94" ht="14.25" customHeight="1">
      <c r="A94" s="1459"/>
      <c r="B94" s="1460"/>
      <c r="C94" s="1460"/>
      <c r="D94" s="1460"/>
      <c r="E94" s="1442" t="s">
        <v>1886</v>
      </c>
      <c r="G94" s="1461"/>
    </row>
    <row r="95" ht="14.25" customHeight="1">
      <c r="A95" s="1462" t="s">
        <v>1898</v>
      </c>
      <c r="B95" s="1249"/>
      <c r="C95" s="1249"/>
      <c r="D95" s="1249"/>
      <c r="E95" s="1249"/>
      <c r="F95" s="1249"/>
      <c r="G95" s="1250"/>
    </row>
    <row r="96" ht="14.25" customHeight="1">
      <c r="A96" s="1426" t="s">
        <v>1585</v>
      </c>
      <c r="B96" s="1427" t="s">
        <v>1585</v>
      </c>
      <c r="C96" s="1427" t="s">
        <v>1899</v>
      </c>
      <c r="D96" s="1427" t="s">
        <v>1620</v>
      </c>
      <c r="E96" s="1427" t="s">
        <v>1900</v>
      </c>
      <c r="F96" s="1427" t="s">
        <v>1901</v>
      </c>
      <c r="G96" s="1463" t="s">
        <v>1902</v>
      </c>
    </row>
    <row r="97" ht="14.25" customHeight="1">
      <c r="A97" s="1464" t="s">
        <v>1903</v>
      </c>
      <c r="B97" s="561"/>
      <c r="C97" s="561"/>
      <c r="D97" s="561"/>
      <c r="E97" s="561"/>
      <c r="F97" s="561"/>
      <c r="G97" s="124"/>
    </row>
    <row r="98" ht="14.25" customHeight="1">
      <c r="A98" s="1465">
        <v>7.5</v>
      </c>
      <c r="B98" s="1214">
        <v>7.5</v>
      </c>
      <c r="C98" s="1214">
        <v>3.0</v>
      </c>
      <c r="D98" s="1214" t="str">
        <f>ROUNDUP(B98*C98,2)</f>
        <v>22.50</v>
      </c>
      <c r="E98" s="1466" t="s">
        <v>1904</v>
      </c>
      <c r="F98" s="1214" t="str">
        <f>1.6*2.1</f>
        <v>3.36</v>
      </c>
      <c r="G98" s="1467" t="str">
        <f t="shared" ref="G98:G107" si="2">ROUNDUP(D98-F98,2)</f>
        <v>19.14</v>
      </c>
    </row>
    <row r="99" ht="14.25" customHeight="1">
      <c r="A99" s="1465">
        <v>3.35</v>
      </c>
      <c r="B99" s="1214" t="str">
        <f>A99</f>
        <v>3.35</v>
      </c>
      <c r="C99" s="1214">
        <v>3.0</v>
      </c>
      <c r="D99" s="1214" t="str">
        <f>B99*C99</f>
        <v>10.05</v>
      </c>
      <c r="E99" s="1466" t="s">
        <v>1905</v>
      </c>
      <c r="F99" s="1214" t="str">
        <f>(0.8*2.1)</f>
        <v>1.68</v>
      </c>
      <c r="G99" s="1467" t="str">
        <f t="shared" si="2"/>
        <v>8.37</v>
      </c>
    </row>
    <row r="100" ht="14.25" customHeight="1">
      <c r="A100" s="1465">
        <v>17.25</v>
      </c>
      <c r="B100" s="1214">
        <v>17.25</v>
      </c>
      <c r="C100" s="1214">
        <v>3.0</v>
      </c>
      <c r="D100" s="1214" t="str">
        <f t="shared" ref="D100:D107" si="3">ROUNDUP(B100*C100,2)</f>
        <v>51.75</v>
      </c>
      <c r="E100" s="1466" t="s">
        <v>1906</v>
      </c>
      <c r="F100" s="1214" t="str">
        <f>(2.3*1.1*3)+(1.1*1*2)</f>
        <v>9.79</v>
      </c>
      <c r="G100" s="1468" t="str">
        <f t="shared" si="2"/>
        <v>41.96</v>
      </c>
    </row>
    <row r="101" ht="14.25" customHeight="1">
      <c r="A101" s="1465">
        <v>19.6</v>
      </c>
      <c r="B101" s="1214">
        <v>19.6</v>
      </c>
      <c r="C101" s="1214">
        <v>3.2</v>
      </c>
      <c r="D101" s="1214" t="str">
        <f t="shared" si="3"/>
        <v>62.72</v>
      </c>
      <c r="E101" s="1466" t="s">
        <v>1907</v>
      </c>
      <c r="F101" s="1214" t="str">
        <f>(1*0.6*3)+(2.3*1.1*2)+(0.8*2.1)+(1.3*2.1)</f>
        <v>11.27</v>
      </c>
      <c r="G101" s="1467" t="str">
        <f t="shared" si="2"/>
        <v>51.45</v>
      </c>
    </row>
    <row r="102" ht="14.25" customHeight="1">
      <c r="A102" s="1465">
        <v>5.8</v>
      </c>
      <c r="B102" s="1214">
        <v>5.8</v>
      </c>
      <c r="C102" s="1214">
        <v>3.0</v>
      </c>
      <c r="D102" s="1214" t="str">
        <f t="shared" si="3"/>
        <v>17.40</v>
      </c>
      <c r="E102" s="1466" t="s">
        <v>1908</v>
      </c>
      <c r="F102" s="1214" t="str">
        <f t="shared" ref="F102:F103" si="4">2.2*1.1</f>
        <v>2.42</v>
      </c>
      <c r="G102" s="1467" t="str">
        <f t="shared" si="2"/>
        <v>14.98</v>
      </c>
    </row>
    <row r="103" ht="14.25" customHeight="1">
      <c r="A103" s="1465">
        <v>3.65</v>
      </c>
      <c r="B103" s="1214">
        <v>3.65</v>
      </c>
      <c r="C103" s="1214">
        <v>3.0</v>
      </c>
      <c r="D103" s="1214" t="str">
        <f t="shared" si="3"/>
        <v>10.95</v>
      </c>
      <c r="E103" s="1466" t="s">
        <v>1908</v>
      </c>
      <c r="F103" s="1214" t="str">
        <f t="shared" si="4"/>
        <v>2.42</v>
      </c>
      <c r="G103" s="1467" t="str">
        <f t="shared" si="2"/>
        <v>8.53</v>
      </c>
    </row>
    <row r="104" ht="14.25" customHeight="1">
      <c r="A104" s="1465">
        <v>4.15</v>
      </c>
      <c r="B104" s="1214">
        <v>4.15</v>
      </c>
      <c r="C104" s="1214">
        <v>3.0</v>
      </c>
      <c r="D104" s="1214" t="str">
        <f t="shared" si="3"/>
        <v>12.45</v>
      </c>
      <c r="E104" s="1466" t="s">
        <v>1909</v>
      </c>
      <c r="F104" s="1214" t="str">
        <f>(0.8*2.1)+(2.3*1.1)</f>
        <v>4.21</v>
      </c>
      <c r="G104" s="1467" t="str">
        <f t="shared" si="2"/>
        <v>8.24</v>
      </c>
    </row>
    <row r="105" ht="14.25" customHeight="1">
      <c r="A105" s="1465">
        <v>5.8</v>
      </c>
      <c r="B105" s="1214">
        <v>5.8</v>
      </c>
      <c r="C105" s="1214">
        <v>3.0</v>
      </c>
      <c r="D105" s="1214" t="str">
        <f t="shared" si="3"/>
        <v>17.40</v>
      </c>
      <c r="E105" s="1466" t="s">
        <v>1910</v>
      </c>
      <c r="F105" s="1214" t="str">
        <f>2.2*1.1</f>
        <v>2.42</v>
      </c>
      <c r="G105" s="1467" t="str">
        <f t="shared" si="2"/>
        <v>14.98</v>
      </c>
    </row>
    <row r="106" ht="14.25" customHeight="1">
      <c r="A106" s="1465">
        <v>9.8</v>
      </c>
      <c r="B106" s="1214">
        <v>9.8</v>
      </c>
      <c r="C106" s="1214">
        <v>3.0</v>
      </c>
      <c r="D106" s="1214" t="str">
        <f t="shared" si="3"/>
        <v>29.40</v>
      </c>
      <c r="E106" s="1466" t="s">
        <v>1911</v>
      </c>
      <c r="F106" s="1214" t="str">
        <f>(0.6*1.1*6)</f>
        <v>3.96</v>
      </c>
      <c r="G106" s="1467" t="str">
        <f t="shared" si="2"/>
        <v>25.44</v>
      </c>
    </row>
    <row r="107" ht="14.25" customHeight="1">
      <c r="A107" s="1465">
        <v>6.15</v>
      </c>
      <c r="B107" s="1214">
        <v>6.15</v>
      </c>
      <c r="C107" s="1214">
        <v>3.0</v>
      </c>
      <c r="D107" s="1214" t="str">
        <f t="shared" si="3"/>
        <v>18.45</v>
      </c>
      <c r="E107" s="1466" t="s">
        <v>1912</v>
      </c>
      <c r="F107" s="1214" t="str">
        <f>(0.8*2.1*4)</f>
        <v>6.72</v>
      </c>
      <c r="G107" s="1467" t="str">
        <f t="shared" si="2"/>
        <v>11.73</v>
      </c>
    </row>
    <row r="108" ht="14.25" customHeight="1">
      <c r="A108" s="1464" t="s">
        <v>1913</v>
      </c>
      <c r="B108" s="561"/>
      <c r="C108" s="561"/>
      <c r="D108" s="561"/>
      <c r="E108" s="561"/>
      <c r="F108" s="561"/>
      <c r="G108" s="124"/>
    </row>
    <row r="109" ht="14.25" customHeight="1">
      <c r="A109" s="1251" t="s">
        <v>1914</v>
      </c>
      <c r="B109" s="1214" t="str">
        <f>1.35+1.354+(1.85*4)+1.95</f>
        <v>12.05</v>
      </c>
      <c r="C109" s="1214">
        <v>3.0</v>
      </c>
      <c r="D109" s="1214" t="str">
        <f>ROUNDUP(B109*C109,2)</f>
        <v>36.17</v>
      </c>
      <c r="E109" s="1214"/>
      <c r="F109" s="1214"/>
      <c r="G109" s="1467" t="str">
        <f t="shared" ref="G109:G111" si="5">ROUNDUP(D109-F109,2)</f>
        <v>36.17</v>
      </c>
    </row>
    <row r="110" ht="14.25" customHeight="1">
      <c r="A110" s="1251" t="s">
        <v>1915</v>
      </c>
      <c r="B110" s="1214" t="str">
        <f>4.15+1.5+4.8+3.65+1.65+4.3+4</f>
        <v>24.05</v>
      </c>
      <c r="C110" s="1214">
        <v>1.22</v>
      </c>
      <c r="D110" s="1214" t="str">
        <f t="shared" ref="D110:D111" si="6">B110*C110</f>
        <v>29.34</v>
      </c>
      <c r="E110" s="1214"/>
      <c r="F110" s="1214"/>
      <c r="G110" s="1467" t="str">
        <f t="shared" si="5"/>
        <v>29.35</v>
      </c>
    </row>
    <row r="111" ht="14.25" customHeight="1">
      <c r="A111" s="1294" t="s">
        <v>1916</v>
      </c>
      <c r="B111" s="1214">
        <v>3.55</v>
      </c>
      <c r="C111" s="1469">
        <v>1.22</v>
      </c>
      <c r="D111" s="1214" t="str">
        <f t="shared" si="6"/>
        <v>4.33</v>
      </c>
      <c r="E111" s="1469"/>
      <c r="F111" s="1214"/>
      <c r="G111" s="1467" t="str">
        <f t="shared" si="5"/>
        <v>4.34</v>
      </c>
    </row>
    <row r="112" ht="14.25" customHeight="1">
      <c r="A112" s="1464" t="s">
        <v>1917</v>
      </c>
      <c r="B112" s="561"/>
      <c r="C112" s="561"/>
      <c r="D112" s="561"/>
      <c r="E112" s="561"/>
      <c r="F112" s="561"/>
      <c r="G112" s="124"/>
    </row>
    <row r="113" ht="14.25" customHeight="1">
      <c r="A113" s="1251" t="s">
        <v>1918</v>
      </c>
      <c r="B113" s="1214" t="str">
        <f>7.5+4+3.35+4+4.5+5+(3.85*4)+3.75</f>
        <v>47.50</v>
      </c>
      <c r="C113" s="1214">
        <v>3.0</v>
      </c>
      <c r="D113" s="1214" t="str">
        <f t="shared" ref="D113:D117" si="7">ROUNDUP(B113*C113,2)</f>
        <v>142.50</v>
      </c>
      <c r="E113" s="1214"/>
      <c r="F113" s="1214"/>
      <c r="G113" s="1467" t="str">
        <f t="shared" ref="G113:G117" si="8">ROUNDUP(D113-F113,2)</f>
        <v>142.50</v>
      </c>
    </row>
    <row r="114" ht="14.25" customHeight="1">
      <c r="A114" s="1251" t="s">
        <v>1919</v>
      </c>
      <c r="B114" s="1214">
        <v>5.3</v>
      </c>
      <c r="C114" s="1214">
        <v>1.22</v>
      </c>
      <c r="D114" s="1214" t="str">
        <f t="shared" si="7"/>
        <v>6.47</v>
      </c>
      <c r="E114" s="1214"/>
      <c r="F114" s="1214"/>
      <c r="G114" s="1467" t="str">
        <f t="shared" si="8"/>
        <v>6.47</v>
      </c>
    </row>
    <row r="115" ht="14.25" customHeight="1">
      <c r="A115" s="1251" t="s">
        <v>1920</v>
      </c>
      <c r="B115" s="1214" t="str">
        <f>17.25+7.5+7.65</f>
        <v>32.40</v>
      </c>
      <c r="C115" s="1214">
        <v>1.22</v>
      </c>
      <c r="D115" s="1214" t="str">
        <f t="shared" si="7"/>
        <v>39.53</v>
      </c>
      <c r="E115" s="1214"/>
      <c r="F115" s="1214"/>
      <c r="G115" s="1467" t="str">
        <f t="shared" si="8"/>
        <v>39.53</v>
      </c>
    </row>
    <row r="116" ht="14.25" customHeight="1">
      <c r="A116" s="1251" t="s">
        <v>1921</v>
      </c>
      <c r="B116" s="1214" t="str">
        <f>4.6*2+(9.8)</f>
        <v>19.00</v>
      </c>
      <c r="C116" s="1214">
        <v>1.8</v>
      </c>
      <c r="D116" s="1214" t="str">
        <f t="shared" si="7"/>
        <v>34.20</v>
      </c>
      <c r="E116" s="1214"/>
      <c r="F116" s="1214"/>
      <c r="G116" s="1467" t="str">
        <f t="shared" si="8"/>
        <v>34.20</v>
      </c>
    </row>
    <row r="117" ht="14.25" customHeight="1">
      <c r="A117" s="1251" t="s">
        <v>1922</v>
      </c>
      <c r="B117" s="1214" t="str">
        <f>4*2+(9.8)</f>
        <v>17.80</v>
      </c>
      <c r="C117" s="1214">
        <v>2.28</v>
      </c>
      <c r="D117" s="1214" t="str">
        <f t="shared" si="7"/>
        <v>40.59</v>
      </c>
      <c r="E117" s="1214"/>
      <c r="F117" s="1214"/>
      <c r="G117" s="1467" t="str">
        <f t="shared" si="8"/>
        <v>40.59</v>
      </c>
    </row>
    <row r="118" ht="14.25" customHeight="1">
      <c r="A118" s="1464" t="s">
        <v>1923</v>
      </c>
      <c r="B118" s="561"/>
      <c r="C118" s="561"/>
      <c r="D118" s="561"/>
      <c r="E118" s="561"/>
      <c r="F118" s="561"/>
      <c r="G118" s="124"/>
    </row>
    <row r="119" ht="14.25" customHeight="1">
      <c r="A119" s="1465">
        <v>2.3</v>
      </c>
      <c r="B119" s="1214">
        <v>2.3</v>
      </c>
      <c r="C119" s="1214">
        <v>3.0</v>
      </c>
      <c r="D119" s="1214" t="str">
        <f>ROUNDUP(B119*C119,2)</f>
        <v>6.90</v>
      </c>
      <c r="E119" s="1466" t="s">
        <v>1924</v>
      </c>
      <c r="F119" s="1214" t="str">
        <f>(1.2*1.1)</f>
        <v>1.32</v>
      </c>
      <c r="G119" s="1467" t="str">
        <f t="shared" ref="G119:G122" si="9">ROUNDUP(D119-F119,2)</f>
        <v>5.58</v>
      </c>
    </row>
    <row r="120" ht="14.25" customHeight="1">
      <c r="A120" s="1465">
        <v>1.95</v>
      </c>
      <c r="B120" s="1214">
        <v>1.95</v>
      </c>
      <c r="C120" s="1214">
        <v>3.0</v>
      </c>
      <c r="D120" s="1214" t="str">
        <f>B120*C120</f>
        <v>5.85</v>
      </c>
      <c r="E120" s="1466" t="s">
        <v>1925</v>
      </c>
      <c r="F120" s="1214" t="str">
        <f t="shared" ref="F120:F121" si="10">(0.8*2.1)</f>
        <v>1.68</v>
      </c>
      <c r="G120" s="1467" t="str">
        <f t="shared" si="9"/>
        <v>4.17</v>
      </c>
    </row>
    <row r="121" ht="14.25" customHeight="1">
      <c r="A121" s="1465">
        <v>1.35</v>
      </c>
      <c r="B121" s="1214">
        <v>1.35</v>
      </c>
      <c r="C121" s="1214">
        <v>3.0</v>
      </c>
      <c r="D121" s="1214" t="str">
        <f>ROUNDUP(B121*C121,2)</f>
        <v>4.05</v>
      </c>
      <c r="E121" s="1466" t="s">
        <v>1926</v>
      </c>
      <c r="F121" s="1214" t="str">
        <f t="shared" si="10"/>
        <v>1.68</v>
      </c>
      <c r="G121" s="1467" t="str">
        <f t="shared" si="9"/>
        <v>2.37</v>
      </c>
    </row>
    <row r="122" ht="14.25" customHeight="1">
      <c r="A122" s="1465">
        <v>2.5</v>
      </c>
      <c r="B122" s="1214">
        <v>2.5</v>
      </c>
      <c r="C122" s="1214">
        <v>3.0</v>
      </c>
      <c r="D122" s="1214" t="str">
        <f>B122*C122</f>
        <v>7.50</v>
      </c>
      <c r="E122" s="1466" t="s">
        <v>1927</v>
      </c>
      <c r="F122" s="1214" t="str">
        <f>(1*2.1)</f>
        <v>2.10</v>
      </c>
      <c r="G122" s="1467" t="str">
        <f t="shared" si="9"/>
        <v>5.40</v>
      </c>
    </row>
    <row r="123" ht="14.25" customHeight="1">
      <c r="A123" s="1470" t="s">
        <v>1580</v>
      </c>
      <c r="B123" s="41"/>
      <c r="C123" s="1429" t="s">
        <v>1928</v>
      </c>
      <c r="D123" s="561"/>
      <c r="E123" s="561"/>
      <c r="F123" s="561"/>
      <c r="G123" s="124"/>
    </row>
    <row r="124" ht="14.25" customHeight="1">
      <c r="A124" s="1471"/>
      <c r="B124" s="1210"/>
      <c r="C124" s="1472" t="s">
        <v>1903</v>
      </c>
      <c r="D124" s="561"/>
      <c r="E124" s="561"/>
      <c r="F124" s="41"/>
      <c r="G124" s="1467"/>
    </row>
    <row r="125" ht="14.25" customHeight="1">
      <c r="A125" s="1421"/>
      <c r="B125" s="1418"/>
      <c r="C125" s="1473" t="s">
        <v>1467</v>
      </c>
      <c r="D125" s="561"/>
      <c r="E125" s="561"/>
      <c r="F125" s="41"/>
      <c r="G125" s="1474" t="str">
        <f>G98+G99+G100+G101+G102+G103+G104+G105+G106+G107</f>
        <v>204.82</v>
      </c>
    </row>
    <row r="126" ht="14.25" customHeight="1">
      <c r="A126" s="1421"/>
      <c r="B126" s="1418"/>
      <c r="C126" s="1472" t="s">
        <v>1913</v>
      </c>
      <c r="D126" s="561"/>
      <c r="E126" s="561"/>
      <c r="F126" s="41"/>
      <c r="G126" s="1475"/>
    </row>
    <row r="127" ht="14.25" customHeight="1">
      <c r="A127" s="1421"/>
      <c r="B127" s="1418"/>
      <c r="C127" s="1473" t="s">
        <v>1467</v>
      </c>
      <c r="D127" s="561"/>
      <c r="E127" s="561"/>
      <c r="F127" s="41"/>
      <c r="G127" s="1474" t="str">
        <f>G109+G110+G111</f>
        <v>69.86</v>
      </c>
    </row>
    <row r="128" ht="14.25" customHeight="1">
      <c r="A128" s="1421"/>
      <c r="B128" s="1418"/>
      <c r="C128" s="1472" t="s">
        <v>1929</v>
      </c>
      <c r="D128" s="561"/>
      <c r="E128" s="561"/>
      <c r="F128" s="41"/>
      <c r="G128" s="1476"/>
    </row>
    <row r="129" ht="14.25" customHeight="1">
      <c r="A129" s="1421"/>
      <c r="B129" s="1418"/>
      <c r="C129" s="1473" t="s">
        <v>1467</v>
      </c>
      <c r="D129" s="561"/>
      <c r="E129" s="561"/>
      <c r="F129" s="41"/>
      <c r="G129" s="1474" t="str">
        <f>G113+G114+G115+G116+G117</f>
        <v>263.29</v>
      </c>
    </row>
    <row r="130" ht="14.25" customHeight="1">
      <c r="A130" s="1421"/>
      <c r="B130" s="1418"/>
      <c r="C130" s="1472" t="s">
        <v>1930</v>
      </c>
      <c r="D130" s="561"/>
      <c r="E130" s="561"/>
      <c r="F130" s="41"/>
      <c r="G130" s="1467"/>
    </row>
    <row r="131" ht="14.25" customHeight="1">
      <c r="A131" s="1213"/>
      <c r="B131" s="39"/>
      <c r="C131" s="1473" t="s">
        <v>1467</v>
      </c>
      <c r="D131" s="561"/>
      <c r="E131" s="561"/>
      <c r="F131" s="41"/>
      <c r="G131" s="1477" t="str">
        <f>G121+G119+G120+G122</f>
        <v>17.52</v>
      </c>
    </row>
    <row r="132" ht="14.25" customHeight="1">
      <c r="A132" s="1478"/>
      <c r="B132" s="712"/>
      <c r="C132" s="1479" t="s">
        <v>1623</v>
      </c>
      <c r="D132" s="127"/>
      <c r="E132" s="127"/>
      <c r="F132" s="712"/>
      <c r="G132" s="1480" t="str">
        <f>G125+G127+G129+G131</f>
        <v>555.49</v>
      </c>
    </row>
    <row r="133" ht="14.25" customHeight="1">
      <c r="A133" s="1279"/>
      <c r="B133" s="1481"/>
      <c r="C133" s="1482"/>
      <c r="D133" s="1482"/>
      <c r="E133" s="1482"/>
      <c r="F133" s="1482"/>
      <c r="G133" s="1290"/>
    </row>
    <row r="134" ht="14.25" customHeight="1">
      <c r="A134" s="1199" t="s">
        <v>1931</v>
      </c>
      <c r="B134" s="1200" t="s">
        <v>1932</v>
      </c>
      <c r="C134" s="28"/>
      <c r="D134" s="28"/>
      <c r="E134" s="28"/>
      <c r="F134" s="28"/>
      <c r="G134" s="29"/>
    </row>
    <row r="135" ht="14.25" customHeight="1">
      <c r="A135" s="1207" t="s">
        <v>1577</v>
      </c>
      <c r="B135" s="107"/>
      <c r="C135" s="107"/>
      <c r="D135" s="107"/>
      <c r="E135" s="107"/>
      <c r="F135" s="107"/>
      <c r="G135" s="781"/>
    </row>
    <row r="136" ht="14.25" customHeight="1">
      <c r="A136" s="1208" t="s">
        <v>1933</v>
      </c>
      <c r="B136" s="561"/>
      <c r="C136" s="561"/>
      <c r="D136" s="561"/>
      <c r="E136" s="561"/>
      <c r="F136" s="561"/>
      <c r="G136" s="124"/>
    </row>
    <row r="137" ht="14.25" customHeight="1">
      <c r="A137" s="1426" t="s">
        <v>1585</v>
      </c>
      <c r="B137" s="1427" t="s">
        <v>1934</v>
      </c>
      <c r="C137" s="1427" t="s">
        <v>1935</v>
      </c>
      <c r="D137" s="1427" t="s">
        <v>1936</v>
      </c>
      <c r="E137" s="1429" t="s">
        <v>1580</v>
      </c>
      <c r="F137" s="561"/>
      <c r="G137" s="124"/>
    </row>
    <row r="138" ht="18.0" customHeight="1">
      <c r="A138" s="1483">
        <v>4.6</v>
      </c>
      <c r="B138" s="1484">
        <v>2.7</v>
      </c>
      <c r="C138" s="1485" t="s">
        <v>1937</v>
      </c>
      <c r="D138" s="1484" t="str">
        <f>A138*B138-(0.9*2.1)</f>
        <v>10.53</v>
      </c>
      <c r="E138" s="1486"/>
      <c r="F138" s="854"/>
      <c r="G138" s="855"/>
    </row>
    <row r="139" ht="21.75" customHeight="1">
      <c r="A139" s="36"/>
      <c r="B139" s="37"/>
      <c r="C139" s="37"/>
      <c r="D139" s="37"/>
      <c r="E139" s="1258"/>
      <c r="G139" s="571"/>
    </row>
    <row r="140" ht="19.5" customHeight="1">
      <c r="A140" s="36"/>
      <c r="B140" s="37"/>
      <c r="C140" s="37"/>
      <c r="D140" s="37"/>
      <c r="E140" s="1258"/>
      <c r="G140" s="571"/>
    </row>
    <row r="141" ht="19.5" customHeight="1">
      <c r="A141" s="1487"/>
      <c r="B141" s="1488"/>
      <c r="C141" s="1488"/>
      <c r="D141" s="1488"/>
      <c r="E141" s="38"/>
      <c r="F141" s="1259"/>
      <c r="G141" s="1260"/>
    </row>
    <row r="142" ht="14.25" customHeight="1">
      <c r="A142" s="1489"/>
      <c r="B142" s="687"/>
      <c r="C142" s="1490" t="s">
        <v>1467</v>
      </c>
      <c r="D142" s="1491" t="str">
        <f>SUM(D138:D141)</f>
        <v>10.53</v>
      </c>
      <c r="E142" s="1492"/>
      <c r="F142" s="127"/>
      <c r="G142" s="128"/>
    </row>
    <row r="143" ht="14.25" customHeight="1">
      <c r="A143" s="1493"/>
      <c r="B143" s="1494"/>
      <c r="C143" s="1303"/>
      <c r="D143" s="1495"/>
      <c r="E143" s="1496"/>
      <c r="F143" s="1496"/>
      <c r="G143" s="1497"/>
    </row>
    <row r="144" ht="14.25" customHeight="1">
      <c r="A144" s="1199" t="s">
        <v>1938</v>
      </c>
      <c r="B144" s="1200" t="s">
        <v>1939</v>
      </c>
      <c r="C144" s="28"/>
      <c r="D144" s="28"/>
      <c r="E144" s="28"/>
      <c r="F144" s="28"/>
      <c r="G144" s="29"/>
    </row>
    <row r="145" ht="14.25" customHeight="1">
      <c r="A145" s="1207" t="s">
        <v>1577</v>
      </c>
      <c r="B145" s="107"/>
      <c r="C145" s="107"/>
      <c r="D145" s="107"/>
      <c r="E145" s="107"/>
      <c r="F145" s="107"/>
      <c r="G145" s="781"/>
    </row>
    <row r="146" ht="14.25" customHeight="1">
      <c r="A146" s="1208" t="s">
        <v>1933</v>
      </c>
      <c r="B146" s="561"/>
      <c r="C146" s="561"/>
      <c r="D146" s="561"/>
      <c r="E146" s="561"/>
      <c r="F146" s="561"/>
      <c r="G146" s="124"/>
    </row>
    <row r="147" ht="14.25" customHeight="1">
      <c r="A147" s="1426" t="s">
        <v>1940</v>
      </c>
      <c r="B147" s="1427" t="s">
        <v>1941</v>
      </c>
      <c r="C147" s="1427" t="s">
        <v>1942</v>
      </c>
      <c r="D147" s="1427" t="s">
        <v>1943</v>
      </c>
      <c r="E147" s="1429" t="s">
        <v>1580</v>
      </c>
      <c r="F147" s="561"/>
      <c r="G147" s="124"/>
    </row>
    <row r="148" ht="14.25" customHeight="1">
      <c r="A148" s="1282" t="s">
        <v>1944</v>
      </c>
      <c r="B148" s="1230">
        <v>1.1</v>
      </c>
      <c r="C148" s="1498" t="s">
        <v>1945</v>
      </c>
      <c r="D148" s="1484" t="str">
        <f>(1.1+0.6)*11</f>
        <v>18.70</v>
      </c>
      <c r="E148" s="1499"/>
      <c r="F148" s="1500"/>
      <c r="G148" s="1501"/>
    </row>
    <row r="149" ht="14.25" customHeight="1">
      <c r="A149" s="1282" t="s">
        <v>1946</v>
      </c>
      <c r="B149" s="1230">
        <v>2.3</v>
      </c>
      <c r="C149" s="1498" t="s">
        <v>1945</v>
      </c>
      <c r="D149" s="1484" t="str">
        <f>(2.3+0.6)*6</f>
        <v>17.40</v>
      </c>
      <c r="E149" s="1502"/>
      <c r="F149" s="1503"/>
      <c r="G149" s="1504"/>
    </row>
    <row r="150" ht="14.25" customHeight="1">
      <c r="A150" s="1282" t="s">
        <v>1947</v>
      </c>
      <c r="B150" s="1230">
        <v>2.2</v>
      </c>
      <c r="C150" s="1498" t="s">
        <v>1945</v>
      </c>
      <c r="D150" s="1484" t="str">
        <f>(2.2+0.6)*2</f>
        <v>5.60</v>
      </c>
      <c r="E150" s="1502"/>
      <c r="F150" s="1503"/>
      <c r="G150" s="1504"/>
    </row>
    <row r="151" ht="14.25" customHeight="1">
      <c r="A151" s="1282" t="s">
        <v>1948</v>
      </c>
      <c r="B151" s="1230">
        <v>1.2</v>
      </c>
      <c r="C151" s="1498" t="s">
        <v>1945</v>
      </c>
      <c r="D151" s="1484" t="str">
        <f>(2+0.6)*6</f>
        <v>15.60</v>
      </c>
      <c r="E151" s="1502"/>
      <c r="F151" s="1503"/>
      <c r="G151" s="1504"/>
    </row>
    <row r="152" ht="14.25" customHeight="1">
      <c r="A152" s="1489"/>
      <c r="B152" s="687"/>
      <c r="C152" s="1490" t="s">
        <v>1467</v>
      </c>
      <c r="D152" s="1491" t="str">
        <f>SUM(D148:D151)</f>
        <v>57.30</v>
      </c>
      <c r="E152" s="1492"/>
      <c r="F152" s="127"/>
      <c r="G152" s="128"/>
    </row>
    <row r="153" ht="14.25" customHeight="1">
      <c r="A153" s="1505"/>
      <c r="B153" s="1506"/>
      <c r="C153" s="1507"/>
      <c r="D153" s="1507"/>
      <c r="E153" s="1507"/>
      <c r="F153" s="1507"/>
      <c r="G153" s="1508"/>
    </row>
    <row r="154" ht="14.25" customHeight="1">
      <c r="A154" s="1199" t="s">
        <v>1949</v>
      </c>
      <c r="B154" s="1200" t="s">
        <v>1950</v>
      </c>
      <c r="C154" s="28"/>
      <c r="D154" s="28"/>
      <c r="E154" s="28"/>
      <c r="F154" s="28"/>
      <c r="G154" s="29"/>
    </row>
    <row r="155" ht="14.25" customHeight="1">
      <c r="A155" s="1223" t="s">
        <v>1577</v>
      </c>
      <c r="B155" s="561"/>
      <c r="C155" s="561"/>
      <c r="D155" s="561"/>
      <c r="E155" s="561"/>
      <c r="F155" s="561"/>
      <c r="G155" s="124"/>
    </row>
    <row r="156" ht="14.25" customHeight="1">
      <c r="A156" s="1208" t="s">
        <v>1933</v>
      </c>
      <c r="B156" s="561"/>
      <c r="C156" s="561"/>
      <c r="D156" s="561"/>
      <c r="E156" s="561"/>
      <c r="F156" s="561"/>
      <c r="G156" s="124"/>
    </row>
    <row r="157" ht="14.25" customHeight="1">
      <c r="A157" s="1426" t="s">
        <v>1940</v>
      </c>
      <c r="B157" s="1427" t="s">
        <v>1941</v>
      </c>
      <c r="C157" s="1427" t="s">
        <v>1942</v>
      </c>
      <c r="D157" s="1427" t="s">
        <v>1943</v>
      </c>
      <c r="E157" s="1429" t="s">
        <v>1580</v>
      </c>
      <c r="F157" s="561"/>
      <c r="G157" s="124"/>
    </row>
    <row r="158" ht="14.25" customHeight="1">
      <c r="A158" s="1282" t="s">
        <v>1951</v>
      </c>
      <c r="B158" s="1230">
        <v>1.6</v>
      </c>
      <c r="C158" s="1498" t="s">
        <v>1945</v>
      </c>
      <c r="D158" s="1484" t="str">
        <f>(1.6*2.1)*1</f>
        <v>3.36</v>
      </c>
      <c r="E158" s="1509"/>
      <c r="G158" s="571"/>
    </row>
    <row r="159" ht="14.25" customHeight="1">
      <c r="A159" s="1282" t="s">
        <v>1952</v>
      </c>
      <c r="B159" s="1230">
        <v>1.3</v>
      </c>
      <c r="C159" s="1498" t="s">
        <v>1945</v>
      </c>
      <c r="D159" s="1484" t="str">
        <f>1.3*2.1*1</f>
        <v>2.73</v>
      </c>
      <c r="E159" s="1258"/>
      <c r="G159" s="571"/>
    </row>
    <row r="160" ht="14.25" customHeight="1">
      <c r="A160" s="1282" t="s">
        <v>1953</v>
      </c>
      <c r="B160" s="1230">
        <v>0.8</v>
      </c>
      <c r="C160" s="1498" t="s">
        <v>1945</v>
      </c>
      <c r="D160" s="1484" t="str">
        <f>0.8*2.1*3</f>
        <v>5.04</v>
      </c>
      <c r="E160" s="1258"/>
      <c r="G160" s="571"/>
    </row>
    <row r="161" ht="14.25" customHeight="1">
      <c r="A161" s="1282" t="s">
        <v>1954</v>
      </c>
      <c r="B161" s="1230">
        <v>1.0</v>
      </c>
      <c r="C161" s="1498" t="s">
        <v>1945</v>
      </c>
      <c r="D161" s="1484" t="str">
        <f>1*2.1*1</f>
        <v>2.10</v>
      </c>
      <c r="E161" s="1258"/>
      <c r="G161" s="571"/>
    </row>
    <row r="162" ht="14.25" customHeight="1">
      <c r="A162" s="1282" t="s">
        <v>1955</v>
      </c>
      <c r="B162" s="1230">
        <v>1.3</v>
      </c>
      <c r="C162" s="1498" t="s">
        <v>1945</v>
      </c>
      <c r="D162" s="1484" t="str">
        <f>1.3*2.1*1</f>
        <v>2.73</v>
      </c>
      <c r="E162" s="1258"/>
      <c r="G162" s="571"/>
    </row>
    <row r="163" ht="14.25" customHeight="1">
      <c r="A163" s="1282" t="s">
        <v>1956</v>
      </c>
      <c r="B163" s="1230">
        <v>0.8</v>
      </c>
      <c r="C163" s="1498" t="s">
        <v>1945</v>
      </c>
      <c r="D163" s="1484" t="str">
        <f>(0.8+2.1)*1</f>
        <v>2.90</v>
      </c>
      <c r="E163" s="1258"/>
      <c r="G163" s="571"/>
    </row>
    <row r="164" ht="14.25" customHeight="1">
      <c r="A164" s="1471" t="s">
        <v>1957</v>
      </c>
      <c r="B164" s="1230">
        <v>0.8</v>
      </c>
      <c r="C164" s="1498" t="s">
        <v>1945</v>
      </c>
      <c r="D164" s="1484" t="str">
        <f>(0.8+2.1)*5</f>
        <v>14.50</v>
      </c>
      <c r="E164" s="1509"/>
      <c r="F164" s="129"/>
      <c r="G164" s="1271"/>
    </row>
    <row r="165" ht="14.25" customHeight="1">
      <c r="A165" s="1489"/>
      <c r="B165" s="687"/>
      <c r="C165" s="1490" t="s">
        <v>1467</v>
      </c>
      <c r="D165" s="1491" t="str">
        <f>SUM(D158:D164)</f>
        <v>33.36</v>
      </c>
      <c r="E165" s="1492"/>
      <c r="F165" s="127"/>
      <c r="G165" s="128"/>
    </row>
    <row r="166" ht="14.25" customHeight="1">
      <c r="A166" s="1279"/>
      <c r="B166" s="1481"/>
      <c r="C166" s="1482"/>
      <c r="D166" s="1482"/>
      <c r="E166" s="1482"/>
      <c r="F166" s="1482"/>
      <c r="G166" s="1290"/>
    </row>
    <row r="167" ht="14.25" customHeight="1">
      <c r="A167" s="1199" t="s">
        <v>1958</v>
      </c>
      <c r="B167" s="1200" t="s">
        <v>1959</v>
      </c>
      <c r="C167" s="28"/>
      <c r="D167" s="28"/>
      <c r="E167" s="28"/>
      <c r="F167" s="28"/>
      <c r="G167" s="29"/>
    </row>
    <row r="168" ht="14.25" customHeight="1">
      <c r="A168" s="1223" t="s">
        <v>1577</v>
      </c>
      <c r="B168" s="561"/>
      <c r="C168" s="561"/>
      <c r="D168" s="561"/>
      <c r="E168" s="561"/>
      <c r="F168" s="561"/>
      <c r="G168" s="124"/>
    </row>
    <row r="169" ht="14.25" customHeight="1">
      <c r="A169" s="1208" t="s">
        <v>1933</v>
      </c>
      <c r="B169" s="561"/>
      <c r="C169" s="561"/>
      <c r="D169" s="561"/>
      <c r="E169" s="561"/>
      <c r="F169" s="561"/>
      <c r="G169" s="124"/>
    </row>
    <row r="170" ht="14.25" customHeight="1">
      <c r="A170" s="1426" t="s">
        <v>1940</v>
      </c>
      <c r="B170" s="1427" t="s">
        <v>1941</v>
      </c>
      <c r="C170" s="1427" t="s">
        <v>1942</v>
      </c>
      <c r="D170" s="1427" t="s">
        <v>1943</v>
      </c>
      <c r="E170" s="1429" t="s">
        <v>1580</v>
      </c>
      <c r="F170" s="561"/>
      <c r="G170" s="124"/>
    </row>
    <row r="171" ht="14.25" customHeight="1">
      <c r="A171" s="1282" t="s">
        <v>1944</v>
      </c>
      <c r="B171" s="1230">
        <v>1.1</v>
      </c>
      <c r="C171" s="1498" t="s">
        <v>1945</v>
      </c>
      <c r="D171" s="1484" t="str">
        <f>(1.1+0.6)*11</f>
        <v>18.70</v>
      </c>
      <c r="E171" s="1499"/>
      <c r="F171" s="1500"/>
      <c r="G171" s="1501"/>
    </row>
    <row r="172" ht="14.25" customHeight="1">
      <c r="A172" s="1282" t="s">
        <v>1946</v>
      </c>
      <c r="B172" s="1230">
        <v>2.3</v>
      </c>
      <c r="C172" s="1498" t="s">
        <v>1945</v>
      </c>
      <c r="D172" s="1484" t="str">
        <f>(2.3+0.6)*6</f>
        <v>17.40</v>
      </c>
      <c r="E172" s="1509"/>
      <c r="G172" s="571"/>
    </row>
    <row r="173" ht="14.25" customHeight="1">
      <c r="A173" s="1282" t="s">
        <v>1947</v>
      </c>
      <c r="B173" s="1230">
        <v>2.2</v>
      </c>
      <c r="C173" s="1498" t="s">
        <v>1945</v>
      </c>
      <c r="D173" s="1484" t="str">
        <f>(2.2+0.6)*2</f>
        <v>5.60</v>
      </c>
      <c r="E173" s="1258"/>
      <c r="G173" s="571"/>
    </row>
    <row r="174" ht="14.25" customHeight="1">
      <c r="A174" s="1282" t="s">
        <v>1948</v>
      </c>
      <c r="B174" s="1230">
        <v>1.2</v>
      </c>
      <c r="C174" s="1498" t="s">
        <v>1945</v>
      </c>
      <c r="D174" s="1484" t="str">
        <f>(2+0.6)*6</f>
        <v>15.60</v>
      </c>
      <c r="E174" s="1258"/>
      <c r="G174" s="571"/>
    </row>
    <row r="175" ht="14.25" customHeight="1">
      <c r="A175" s="1489"/>
      <c r="B175" s="687"/>
      <c r="C175" s="1490" t="s">
        <v>1467</v>
      </c>
      <c r="D175" s="1491" t="str">
        <f>SUM(D171:D174)</f>
        <v>57.30</v>
      </c>
      <c r="E175" s="1492"/>
      <c r="F175" s="127"/>
      <c r="G175" s="128"/>
    </row>
    <row r="176" ht="14.25" customHeight="1">
      <c r="A176" s="1505"/>
      <c r="B176" s="1506"/>
      <c r="C176" s="1507"/>
      <c r="D176" s="1507"/>
      <c r="E176" s="1507"/>
      <c r="F176" s="1507"/>
      <c r="G176" s="1508"/>
    </row>
    <row r="177" ht="14.25" customHeight="1">
      <c r="A177" s="1199" t="s">
        <v>1960</v>
      </c>
      <c r="B177" s="1200" t="s">
        <v>1734</v>
      </c>
      <c r="C177" s="28"/>
      <c r="D177" s="28"/>
      <c r="E177" s="28"/>
      <c r="F177" s="28"/>
      <c r="G177" s="29"/>
    </row>
    <row r="178" ht="14.25" customHeight="1">
      <c r="A178" s="1199" t="s">
        <v>222</v>
      </c>
      <c r="B178" s="1200" t="s">
        <v>1961</v>
      </c>
      <c r="C178" s="28"/>
      <c r="D178" s="28"/>
      <c r="E178" s="28"/>
      <c r="F178" s="28"/>
      <c r="G178" s="29"/>
    </row>
    <row r="179" ht="14.25" customHeight="1">
      <c r="A179" s="1281" t="s">
        <v>1577</v>
      </c>
      <c r="B179" s="1259"/>
      <c r="C179" s="1259"/>
      <c r="D179" s="1259"/>
      <c r="E179" s="1259"/>
      <c r="F179" s="1259"/>
      <c r="G179" s="1260"/>
    </row>
    <row r="180" ht="14.25" customHeight="1">
      <c r="A180" s="1510" t="s">
        <v>1962</v>
      </c>
      <c r="B180" s="854"/>
      <c r="C180" s="854"/>
      <c r="D180" s="854"/>
      <c r="E180" s="854"/>
      <c r="F180" s="854"/>
      <c r="G180" s="855"/>
    </row>
    <row r="181" ht="14.25" customHeight="1">
      <c r="A181" s="1470" t="s">
        <v>1593</v>
      </c>
      <c r="B181" s="41"/>
      <c r="C181" s="1429" t="s">
        <v>1638</v>
      </c>
      <c r="D181" s="41"/>
      <c r="E181" s="1429" t="s">
        <v>1580</v>
      </c>
      <c r="F181" s="561"/>
      <c r="G181" s="124"/>
    </row>
    <row r="182" ht="14.25" customHeight="1">
      <c r="A182" s="1511" t="s">
        <v>1963</v>
      </c>
      <c r="B182" s="712"/>
      <c r="C182" s="1512">
        <v>246.01</v>
      </c>
      <c r="D182" s="712"/>
      <c r="E182" s="1512" t="s">
        <v>1964</v>
      </c>
      <c r="F182" s="127"/>
      <c r="G182" s="128"/>
    </row>
    <row r="183" ht="14.25" customHeight="1">
      <c r="A183" s="1279"/>
      <c r="B183" s="1481"/>
      <c r="C183" s="1482"/>
      <c r="D183" s="1482"/>
      <c r="E183" s="1482"/>
      <c r="F183" s="1482"/>
      <c r="G183" s="1290"/>
    </row>
    <row r="184" ht="14.25" customHeight="1">
      <c r="A184" s="1199" t="s">
        <v>225</v>
      </c>
      <c r="B184" s="1200" t="s">
        <v>1965</v>
      </c>
      <c r="C184" s="28"/>
      <c r="D184" s="28"/>
      <c r="E184" s="28"/>
      <c r="F184" s="28"/>
      <c r="G184" s="29"/>
    </row>
    <row r="185" ht="14.25" customHeight="1">
      <c r="A185" s="1281" t="s">
        <v>1577</v>
      </c>
      <c r="B185" s="1259"/>
      <c r="C185" s="1259"/>
      <c r="D185" s="1259"/>
      <c r="E185" s="1259"/>
      <c r="F185" s="1259"/>
      <c r="G185" s="1260"/>
    </row>
    <row r="186" ht="14.25" customHeight="1">
      <c r="A186" s="1510" t="s">
        <v>1962</v>
      </c>
      <c r="B186" s="854"/>
      <c r="C186" s="854"/>
      <c r="D186" s="854"/>
      <c r="E186" s="854"/>
      <c r="F186" s="854"/>
      <c r="G186" s="855"/>
    </row>
    <row r="187" ht="14.25" customHeight="1">
      <c r="A187" s="1470" t="s">
        <v>1593</v>
      </c>
      <c r="B187" s="41"/>
      <c r="C187" s="1429" t="s">
        <v>1638</v>
      </c>
      <c r="D187" s="41"/>
      <c r="E187" s="1429" t="s">
        <v>1580</v>
      </c>
      <c r="F187" s="561"/>
      <c r="G187" s="124"/>
    </row>
    <row r="188" ht="14.25" customHeight="1">
      <c r="A188" s="1223" t="s">
        <v>1963</v>
      </c>
      <c r="B188" s="41"/>
      <c r="C188" s="1307" t="str">
        <f>C182</f>
        <v>246.01</v>
      </c>
      <c r="D188" s="1210"/>
      <c r="E188" s="1309" t="s">
        <v>1964</v>
      </c>
      <c r="F188" s="561"/>
      <c r="G188" s="124"/>
    </row>
    <row r="189" ht="14.25" customHeight="1">
      <c r="A189" s="1513"/>
      <c r="B189" s="127"/>
      <c r="C189" s="127"/>
      <c r="D189" s="127"/>
      <c r="E189" s="127"/>
      <c r="F189" s="127"/>
      <c r="G189" s="128"/>
    </row>
    <row r="190" ht="14.25" customHeight="1">
      <c r="A190" s="1514"/>
      <c r="B190" s="1270"/>
      <c r="C190" s="1270"/>
      <c r="D190" s="1270"/>
      <c r="E190" s="1270"/>
      <c r="F190" s="1270"/>
      <c r="G190" s="1290"/>
    </row>
    <row r="191" ht="14.25" customHeight="1">
      <c r="A191" s="1199" t="s">
        <v>228</v>
      </c>
      <c r="B191" s="1200" t="s">
        <v>1966</v>
      </c>
      <c r="C191" s="28"/>
      <c r="D191" s="28"/>
      <c r="E191" s="28"/>
      <c r="F191" s="28"/>
      <c r="G191" s="29"/>
    </row>
    <row r="192" ht="14.25" customHeight="1">
      <c r="A192" s="1281" t="s">
        <v>1577</v>
      </c>
      <c r="B192" s="1259"/>
      <c r="C192" s="1259"/>
      <c r="D192" s="1259"/>
      <c r="E192" s="1259"/>
      <c r="F192" s="1259"/>
      <c r="G192" s="1260"/>
    </row>
    <row r="193" ht="14.25" customHeight="1">
      <c r="A193" s="1510" t="s">
        <v>1962</v>
      </c>
      <c r="B193" s="854"/>
      <c r="C193" s="854"/>
      <c r="D193" s="854"/>
      <c r="E193" s="854"/>
      <c r="F193" s="854"/>
      <c r="G193" s="855"/>
    </row>
    <row r="194" ht="14.25" customHeight="1">
      <c r="A194" s="1470" t="s">
        <v>1967</v>
      </c>
      <c r="B194" s="41"/>
      <c r="C194" s="1427" t="s">
        <v>1585</v>
      </c>
      <c r="D194" s="1427" t="s">
        <v>1579</v>
      </c>
      <c r="E194" s="1429" t="s">
        <v>1580</v>
      </c>
      <c r="F194" s="561"/>
      <c r="G194" s="124"/>
    </row>
    <row r="195" ht="14.25" customHeight="1">
      <c r="A195" s="1515" t="s">
        <v>1968</v>
      </c>
      <c r="B195" s="1210"/>
      <c r="C195" s="1296">
        <v>36.45</v>
      </c>
      <c r="D195" s="1307">
        <v>33.98</v>
      </c>
      <c r="E195" s="1307"/>
      <c r="F195" s="854"/>
      <c r="G195" s="855"/>
    </row>
    <row r="196" ht="14.25" customHeight="1">
      <c r="A196" s="1516"/>
      <c r="B196" s="1517"/>
      <c r="C196" s="1518" t="s">
        <v>1467</v>
      </c>
      <c r="D196" s="1519" t="str">
        <f>SUM(D195)</f>
        <v>33.98</v>
      </c>
      <c r="E196" s="1520"/>
      <c r="F196" s="21"/>
      <c r="G196" s="1521"/>
    </row>
    <row r="197" ht="14.25" customHeight="1">
      <c r="A197" s="1514"/>
      <c r="B197" s="1270"/>
      <c r="C197" s="1270"/>
      <c r="D197" s="1270"/>
      <c r="E197" s="1270"/>
      <c r="F197" s="1270"/>
      <c r="G197" s="1290"/>
    </row>
    <row r="198" ht="14.25" customHeight="1">
      <c r="A198" s="1199" t="s">
        <v>1969</v>
      </c>
      <c r="B198" s="1200" t="s">
        <v>254</v>
      </c>
      <c r="C198" s="28"/>
      <c r="D198" s="28"/>
      <c r="E198" s="28"/>
      <c r="F198" s="28"/>
      <c r="G198" s="29"/>
    </row>
    <row r="199" ht="18.0" customHeight="1">
      <c r="A199" s="1522"/>
      <c r="B199" s="1523"/>
      <c r="C199" s="1523"/>
      <c r="D199" s="1523"/>
      <c r="E199" s="1523"/>
      <c r="F199" s="1523"/>
      <c r="G199" s="1524"/>
    </row>
    <row r="200" ht="18.75" customHeight="1">
      <c r="A200" s="1287"/>
      <c r="B200" s="1288"/>
      <c r="C200" s="1289"/>
      <c r="D200" s="1289"/>
      <c r="E200" s="1289"/>
      <c r="F200" s="1289"/>
      <c r="G200" s="1290"/>
    </row>
    <row r="201" ht="18.75" customHeight="1">
      <c r="A201" s="1287"/>
      <c r="B201" s="1288"/>
      <c r="C201" s="1289"/>
      <c r="D201" s="1289"/>
      <c r="E201" s="1289"/>
      <c r="F201" s="1289"/>
      <c r="G201" s="1290"/>
    </row>
    <row r="202" ht="21.0" customHeight="1">
      <c r="A202" s="1287"/>
      <c r="B202" s="1288"/>
      <c r="C202" s="1289"/>
      <c r="D202" s="1289"/>
      <c r="E202" s="1289"/>
      <c r="F202" s="1289"/>
      <c r="G202" s="1290"/>
    </row>
    <row r="203" ht="21.0" customHeight="1">
      <c r="A203" s="1287"/>
      <c r="B203" s="1288"/>
      <c r="C203" s="1289"/>
      <c r="D203" s="1289"/>
      <c r="E203" s="1289"/>
      <c r="F203" s="1289"/>
      <c r="G203" s="1290"/>
    </row>
    <row r="204" ht="18.75" customHeight="1">
      <c r="A204" s="1287"/>
      <c r="B204" s="1288"/>
      <c r="C204" s="1289"/>
      <c r="D204" s="1289"/>
      <c r="E204" s="1289"/>
      <c r="F204" s="1289"/>
      <c r="G204" s="1290"/>
    </row>
    <row r="205" ht="18.75" customHeight="1">
      <c r="A205" s="1287"/>
      <c r="B205" s="1288"/>
      <c r="C205" s="1289"/>
      <c r="D205" s="1289"/>
      <c r="E205" s="1289"/>
      <c r="F205" s="1289"/>
      <c r="G205" s="1290"/>
    </row>
    <row r="206" ht="21.0" customHeight="1">
      <c r="A206" s="1287"/>
      <c r="B206" s="1288"/>
      <c r="C206" s="1289"/>
      <c r="D206" s="1289"/>
      <c r="E206" s="1289"/>
      <c r="F206" s="1525" t="s">
        <v>1970</v>
      </c>
      <c r="G206" s="1290"/>
    </row>
    <row r="207" ht="21.75" customHeight="1">
      <c r="A207" s="1287"/>
      <c r="B207" s="1288"/>
      <c r="C207" s="1289"/>
      <c r="D207" s="1289"/>
      <c r="E207" s="1526" t="s">
        <v>1971</v>
      </c>
      <c r="F207" s="1525"/>
      <c r="G207" s="1290"/>
    </row>
    <row r="208" ht="21.0" customHeight="1">
      <c r="A208" s="1287"/>
      <c r="B208" s="1288"/>
      <c r="C208" s="1289"/>
      <c r="D208" s="1289"/>
      <c r="E208" s="1289"/>
      <c r="F208" s="1289"/>
      <c r="G208" s="1290"/>
    </row>
    <row r="209" ht="26.25" customHeight="1">
      <c r="A209" s="1287"/>
      <c r="B209" s="1288"/>
      <c r="C209" s="1289"/>
      <c r="D209" s="1289"/>
      <c r="E209" s="1526" t="s">
        <v>1972</v>
      </c>
      <c r="F209" s="1525" t="s">
        <v>1973</v>
      </c>
      <c r="G209" s="1290"/>
    </row>
    <row r="210" ht="20.25" customHeight="1">
      <c r="A210" s="1287"/>
      <c r="B210" s="1288"/>
      <c r="C210" s="1289"/>
      <c r="D210" s="1289"/>
      <c r="E210" s="1289"/>
      <c r="F210" s="1525"/>
      <c r="G210" s="1290"/>
    </row>
    <row r="211" ht="21.75" customHeight="1">
      <c r="A211" s="1287"/>
      <c r="B211" s="1288"/>
      <c r="C211" s="1289"/>
      <c r="D211" s="1289"/>
      <c r="E211" s="1289"/>
      <c r="F211" s="1289"/>
      <c r="G211" s="1290"/>
    </row>
    <row r="212" ht="21.75" customHeight="1">
      <c r="A212" s="1287"/>
      <c r="B212" s="1288"/>
      <c r="C212" s="1289"/>
      <c r="D212" s="1289"/>
      <c r="E212" s="1289"/>
      <c r="F212" s="1289"/>
      <c r="G212" s="1290"/>
    </row>
    <row r="213" ht="14.25" customHeight="1">
      <c r="A213" s="1287"/>
      <c r="B213" s="1288"/>
      <c r="C213" s="1289"/>
      <c r="D213" s="1289"/>
      <c r="E213" s="1289"/>
      <c r="F213" s="1289"/>
      <c r="G213" s="1290"/>
    </row>
    <row r="214" ht="14.25" customHeight="1">
      <c r="A214" s="1287"/>
      <c r="B214" s="1288"/>
      <c r="C214" s="1289"/>
      <c r="D214" s="1289"/>
      <c r="E214" s="1289"/>
      <c r="F214" s="1289"/>
      <c r="G214" s="1290"/>
    </row>
    <row r="215" ht="14.25" customHeight="1">
      <c r="A215" s="1199" t="s">
        <v>255</v>
      </c>
      <c r="B215" s="1200" t="s">
        <v>1974</v>
      </c>
      <c r="C215" s="28"/>
      <c r="D215" s="28"/>
      <c r="E215" s="28"/>
      <c r="F215" s="28"/>
      <c r="G215" s="29"/>
    </row>
    <row r="216" ht="14.25" customHeight="1">
      <c r="A216" s="1281" t="s">
        <v>1577</v>
      </c>
      <c r="B216" s="1259"/>
      <c r="C216" s="1259"/>
      <c r="D216" s="1259"/>
      <c r="E216" s="1259"/>
      <c r="F216" s="1259"/>
      <c r="G216" s="1260"/>
    </row>
    <row r="217" ht="14.25" customHeight="1">
      <c r="A217" s="1208" t="s">
        <v>1618</v>
      </c>
      <c r="B217" s="561"/>
      <c r="C217" s="561"/>
      <c r="D217" s="561"/>
      <c r="E217" s="561"/>
      <c r="F217" s="561"/>
      <c r="G217" s="124"/>
    </row>
    <row r="218" ht="14.25" customHeight="1">
      <c r="A218" s="1426" t="s">
        <v>1593</v>
      </c>
      <c r="B218" s="1427" t="s">
        <v>1619</v>
      </c>
      <c r="C218" s="1427" t="s">
        <v>1587</v>
      </c>
      <c r="D218" s="1427" t="s">
        <v>1620</v>
      </c>
      <c r="E218" s="1427" t="s">
        <v>1621</v>
      </c>
      <c r="F218" s="1429" t="s">
        <v>1622</v>
      </c>
      <c r="G218" s="124"/>
    </row>
    <row r="219" ht="14.25" customHeight="1">
      <c r="A219" s="1282" t="s">
        <v>300</v>
      </c>
      <c r="B219" s="1230">
        <v>1.6</v>
      </c>
      <c r="C219" s="1283">
        <v>2.1</v>
      </c>
      <c r="D219" s="1283" t="str">
        <f>ROUNDUP(B219*C219,2)</f>
        <v>3.36</v>
      </c>
      <c r="E219" s="1283">
        <v>1.0</v>
      </c>
      <c r="F219" s="1284" t="str">
        <f>E219*D219</f>
        <v>3.36</v>
      </c>
      <c r="G219" s="124"/>
    </row>
    <row r="220" ht="14.25" customHeight="1">
      <c r="A220" s="1478"/>
      <c r="B220" s="127"/>
      <c r="C220" s="127"/>
      <c r="D220" s="712"/>
      <c r="E220" s="1479" t="s">
        <v>1623</v>
      </c>
      <c r="F220" s="712"/>
      <c r="G220" s="1480" t="str">
        <f>ROUNDUP(F219,2)</f>
        <v>3.36</v>
      </c>
    </row>
    <row r="221" ht="14.25" customHeight="1">
      <c r="A221" s="1287"/>
      <c r="B221" s="1288"/>
      <c r="C221" s="1289"/>
      <c r="D221" s="1289"/>
      <c r="E221" s="1289"/>
      <c r="F221" s="1289"/>
      <c r="G221" s="1290"/>
    </row>
    <row r="222" ht="14.25" customHeight="1">
      <c r="A222" s="1199" t="s">
        <v>268</v>
      </c>
      <c r="B222" s="1200" t="s">
        <v>1975</v>
      </c>
      <c r="C222" s="28"/>
      <c r="D222" s="28"/>
      <c r="E222" s="28"/>
      <c r="F222" s="28"/>
      <c r="G222" s="29"/>
    </row>
    <row r="223" ht="14.25" customHeight="1">
      <c r="A223" s="1281" t="s">
        <v>1577</v>
      </c>
      <c r="B223" s="1259"/>
      <c r="C223" s="1259"/>
      <c r="D223" s="1259"/>
      <c r="E223" s="1259"/>
      <c r="F223" s="1259"/>
      <c r="G223" s="1260"/>
    </row>
    <row r="224" ht="14.25" customHeight="1">
      <c r="A224" s="1208" t="s">
        <v>1618</v>
      </c>
      <c r="B224" s="561"/>
      <c r="C224" s="561"/>
      <c r="D224" s="561"/>
      <c r="E224" s="561"/>
      <c r="F224" s="561"/>
      <c r="G224" s="124"/>
    </row>
    <row r="225" ht="14.25" customHeight="1">
      <c r="A225" s="1426" t="s">
        <v>1593</v>
      </c>
      <c r="B225" s="1427" t="s">
        <v>1619</v>
      </c>
      <c r="C225" s="1427" t="s">
        <v>1587</v>
      </c>
      <c r="D225" s="1427" t="s">
        <v>1620</v>
      </c>
      <c r="E225" s="1427" t="s">
        <v>1621</v>
      </c>
      <c r="F225" s="1429" t="s">
        <v>1622</v>
      </c>
      <c r="G225" s="124"/>
    </row>
    <row r="226" ht="14.25" customHeight="1">
      <c r="A226" s="1282" t="s">
        <v>1976</v>
      </c>
      <c r="B226" s="1230">
        <v>1.3</v>
      </c>
      <c r="C226" s="1283">
        <v>2.1</v>
      </c>
      <c r="D226" s="1283" t="str">
        <f>ROUNDUP(B226*C226,2)</f>
        <v>2.73</v>
      </c>
      <c r="E226" s="1283">
        <v>1.0</v>
      </c>
      <c r="F226" s="1284" t="str">
        <f>E226*D226</f>
        <v>2.73</v>
      </c>
      <c r="G226" s="124"/>
    </row>
    <row r="227" ht="14.25" customHeight="1">
      <c r="A227" s="1324" t="s">
        <v>1623</v>
      </c>
      <c r="B227" s="127"/>
      <c r="C227" s="127"/>
      <c r="D227" s="127"/>
      <c r="E227" s="127"/>
      <c r="F227" s="712"/>
      <c r="G227" s="1480" t="str">
        <f>ROUNDUP(F226,2)</f>
        <v>2.73</v>
      </c>
    </row>
    <row r="228" ht="14.25" customHeight="1">
      <c r="A228" s="1287"/>
      <c r="B228" s="1288"/>
      <c r="C228" s="1289"/>
      <c r="D228" s="1289"/>
      <c r="E228" s="1289"/>
      <c r="F228" s="1289"/>
      <c r="G228" s="1290"/>
    </row>
    <row r="229" ht="14.25" customHeight="1">
      <c r="A229" s="1199" t="s">
        <v>287</v>
      </c>
      <c r="B229" s="1200" t="s">
        <v>1977</v>
      </c>
      <c r="C229" s="28"/>
      <c r="D229" s="28"/>
      <c r="E229" s="28"/>
      <c r="F229" s="28"/>
      <c r="G229" s="29"/>
    </row>
    <row r="230" ht="14.25" customHeight="1">
      <c r="A230" s="1281" t="s">
        <v>1577</v>
      </c>
      <c r="B230" s="1259"/>
      <c r="C230" s="1259"/>
      <c r="D230" s="1259"/>
      <c r="E230" s="1259"/>
      <c r="F230" s="1259"/>
      <c r="G230" s="1260"/>
    </row>
    <row r="231" ht="14.25" customHeight="1">
      <c r="A231" s="1208" t="s">
        <v>1618</v>
      </c>
      <c r="B231" s="561"/>
      <c r="C231" s="561"/>
      <c r="D231" s="561"/>
      <c r="E231" s="561"/>
      <c r="F231" s="561"/>
      <c r="G231" s="124"/>
    </row>
    <row r="232" ht="14.25" customHeight="1">
      <c r="A232" s="1426" t="s">
        <v>1593</v>
      </c>
      <c r="B232" s="1427" t="s">
        <v>1619</v>
      </c>
      <c r="C232" s="1427" t="s">
        <v>1587</v>
      </c>
      <c r="D232" s="1427" t="s">
        <v>1620</v>
      </c>
      <c r="E232" s="1427" t="s">
        <v>1621</v>
      </c>
      <c r="F232" s="1429" t="s">
        <v>1622</v>
      </c>
      <c r="G232" s="124"/>
    </row>
    <row r="233" ht="14.25" customHeight="1">
      <c r="A233" s="1282" t="s">
        <v>1978</v>
      </c>
      <c r="B233" s="1230">
        <v>0.8</v>
      </c>
      <c r="C233" s="1283">
        <v>2.1</v>
      </c>
      <c r="D233" s="1283" t="str">
        <f>ROUNDUP(B233*C233,2)</f>
        <v>1.68</v>
      </c>
      <c r="E233" s="1283">
        <v>3.0</v>
      </c>
      <c r="F233" s="1284" t="str">
        <f>E233*D233</f>
        <v>5.04</v>
      </c>
      <c r="G233" s="124"/>
    </row>
    <row r="234" ht="14.25" customHeight="1">
      <c r="A234" s="1324"/>
      <c r="B234" s="127"/>
      <c r="C234" s="127"/>
      <c r="D234" s="127"/>
      <c r="E234" s="127"/>
      <c r="F234" s="712"/>
      <c r="G234" s="1480" t="str">
        <f>ROUNDUP(F233,2)</f>
        <v>5.04</v>
      </c>
    </row>
    <row r="235" ht="14.25" customHeight="1">
      <c r="A235" s="1287"/>
      <c r="B235" s="1288"/>
      <c r="C235" s="1289"/>
      <c r="D235" s="1289"/>
      <c r="E235" s="1289"/>
      <c r="F235" s="1289"/>
      <c r="G235" s="1290"/>
    </row>
    <row r="236" ht="14.25" customHeight="1">
      <c r="A236" s="1199" t="s">
        <v>1979</v>
      </c>
      <c r="B236" s="1200" t="s">
        <v>1980</v>
      </c>
      <c r="C236" s="28"/>
      <c r="D236" s="28"/>
      <c r="E236" s="28"/>
      <c r="F236" s="28"/>
      <c r="G236" s="29"/>
    </row>
    <row r="237" ht="14.25" customHeight="1">
      <c r="A237" s="1281" t="s">
        <v>1577</v>
      </c>
      <c r="B237" s="1259"/>
      <c r="C237" s="1259"/>
      <c r="D237" s="1259"/>
      <c r="E237" s="1259"/>
      <c r="F237" s="1259"/>
      <c r="G237" s="1260"/>
    </row>
    <row r="238" ht="14.25" customHeight="1">
      <c r="A238" s="1208" t="s">
        <v>1618</v>
      </c>
      <c r="B238" s="561"/>
      <c r="C238" s="561"/>
      <c r="D238" s="561"/>
      <c r="E238" s="561"/>
      <c r="F238" s="561"/>
      <c r="G238" s="124"/>
    </row>
    <row r="239" ht="14.25" customHeight="1">
      <c r="A239" s="1426" t="s">
        <v>1593</v>
      </c>
      <c r="B239" s="1427" t="s">
        <v>1619</v>
      </c>
      <c r="C239" s="1427" t="s">
        <v>1587</v>
      </c>
      <c r="D239" s="1427" t="s">
        <v>1620</v>
      </c>
      <c r="E239" s="1427" t="s">
        <v>1621</v>
      </c>
      <c r="F239" s="1429" t="s">
        <v>1622</v>
      </c>
      <c r="G239" s="124"/>
    </row>
    <row r="240" ht="14.25" customHeight="1">
      <c r="A240" s="1282" t="s">
        <v>260</v>
      </c>
      <c r="B240" s="1230">
        <v>1.0</v>
      </c>
      <c r="C240" s="1283">
        <v>2.1</v>
      </c>
      <c r="D240" s="1283" t="str">
        <f>ROUNDUP(B240*C240,2)</f>
        <v>2.10</v>
      </c>
      <c r="E240" s="1283">
        <v>1.0</v>
      </c>
      <c r="F240" s="1284" t="str">
        <f>E240*D240</f>
        <v>2.10</v>
      </c>
      <c r="G240" s="124"/>
    </row>
    <row r="241" ht="14.25" customHeight="1">
      <c r="A241" s="1324" t="s">
        <v>1623</v>
      </c>
      <c r="B241" s="127"/>
      <c r="C241" s="127"/>
      <c r="D241" s="127"/>
      <c r="E241" s="127"/>
      <c r="F241" s="712"/>
      <c r="G241" s="1480" t="str">
        <f>ROUNDUP(F240,2)</f>
        <v>2.10</v>
      </c>
    </row>
    <row r="242" ht="14.25" customHeight="1">
      <c r="A242" s="1287"/>
      <c r="B242" s="1288"/>
      <c r="C242" s="1289"/>
      <c r="D242" s="1289"/>
      <c r="E242" s="1289"/>
      <c r="F242" s="1289"/>
      <c r="G242" s="1290"/>
    </row>
    <row r="243" ht="14.25" customHeight="1">
      <c r="A243" s="1199" t="s">
        <v>1981</v>
      </c>
      <c r="B243" s="1200" t="s">
        <v>1982</v>
      </c>
      <c r="C243" s="28"/>
      <c r="D243" s="28"/>
      <c r="E243" s="28"/>
      <c r="F243" s="28"/>
      <c r="G243" s="29"/>
    </row>
    <row r="244" ht="14.25" customHeight="1">
      <c r="A244" s="1281" t="s">
        <v>1577</v>
      </c>
      <c r="B244" s="1259"/>
      <c r="C244" s="1259"/>
      <c r="D244" s="1259"/>
      <c r="E244" s="1259"/>
      <c r="F244" s="1259"/>
      <c r="G244" s="1260"/>
    </row>
    <row r="245" ht="14.25" customHeight="1">
      <c r="A245" s="1208" t="s">
        <v>1618</v>
      </c>
      <c r="B245" s="561"/>
      <c r="C245" s="561"/>
      <c r="D245" s="561"/>
      <c r="E245" s="561"/>
      <c r="F245" s="561"/>
      <c r="G245" s="124"/>
    </row>
    <row r="246" ht="14.25" customHeight="1">
      <c r="A246" s="1426" t="s">
        <v>1593</v>
      </c>
      <c r="B246" s="1427" t="s">
        <v>1619</v>
      </c>
      <c r="C246" s="1427" t="s">
        <v>1587</v>
      </c>
      <c r="D246" s="1427" t="s">
        <v>1620</v>
      </c>
      <c r="E246" s="1427" t="s">
        <v>1621</v>
      </c>
      <c r="F246" s="1429" t="s">
        <v>1622</v>
      </c>
      <c r="G246" s="124"/>
    </row>
    <row r="247" ht="14.25" customHeight="1">
      <c r="A247" s="1282" t="s">
        <v>962</v>
      </c>
      <c r="B247" s="1230">
        <v>1.3</v>
      </c>
      <c r="C247" s="1283">
        <v>2.1</v>
      </c>
      <c r="D247" s="1283" t="str">
        <f>ROUNDUP(B247*C247,2)</f>
        <v>2.73</v>
      </c>
      <c r="E247" s="1283">
        <v>1.0</v>
      </c>
      <c r="F247" s="1284" t="str">
        <f>E247*D247</f>
        <v>2.73</v>
      </c>
      <c r="G247" s="124"/>
    </row>
    <row r="248" ht="14.25" customHeight="1">
      <c r="A248" s="1324" t="s">
        <v>1623</v>
      </c>
      <c r="B248" s="127"/>
      <c r="C248" s="127"/>
      <c r="D248" s="127"/>
      <c r="E248" s="127"/>
      <c r="F248" s="712"/>
      <c r="G248" s="1480" t="str">
        <f>ROUNDUP(F247,2)</f>
        <v>2.73</v>
      </c>
    </row>
    <row r="249" ht="14.25" customHeight="1">
      <c r="A249" s="1183"/>
      <c r="B249" s="1184"/>
      <c r="C249" s="1184"/>
      <c r="D249" s="1184"/>
      <c r="E249" s="1184"/>
      <c r="F249" s="1184"/>
      <c r="G249" s="1185"/>
    </row>
    <row r="250" ht="14.25" customHeight="1">
      <c r="A250" s="1199" t="s">
        <v>1983</v>
      </c>
      <c r="B250" s="1200" t="s">
        <v>1984</v>
      </c>
      <c r="C250" s="28"/>
      <c r="D250" s="28"/>
      <c r="E250" s="28"/>
      <c r="F250" s="28"/>
      <c r="G250" s="29"/>
    </row>
    <row r="251" ht="14.25" customHeight="1">
      <c r="A251" s="1281" t="s">
        <v>1577</v>
      </c>
      <c r="B251" s="1259"/>
      <c r="C251" s="1259"/>
      <c r="D251" s="1259"/>
      <c r="E251" s="1259"/>
      <c r="F251" s="1259"/>
      <c r="G251" s="1260"/>
    </row>
    <row r="252" ht="14.25" customHeight="1">
      <c r="A252" s="1208" t="s">
        <v>1618</v>
      </c>
      <c r="B252" s="561"/>
      <c r="C252" s="561"/>
      <c r="D252" s="561"/>
      <c r="E252" s="561"/>
      <c r="F252" s="561"/>
      <c r="G252" s="124"/>
    </row>
    <row r="253" ht="14.25" customHeight="1">
      <c r="A253" s="1426" t="s">
        <v>1593</v>
      </c>
      <c r="B253" s="1427" t="s">
        <v>1619</v>
      </c>
      <c r="C253" s="1427" t="s">
        <v>1587</v>
      </c>
      <c r="D253" s="1427" t="s">
        <v>1620</v>
      </c>
      <c r="E253" s="1427" t="s">
        <v>1621</v>
      </c>
      <c r="F253" s="1429" t="s">
        <v>1622</v>
      </c>
      <c r="G253" s="124"/>
    </row>
    <row r="254" ht="14.25" customHeight="1">
      <c r="A254" s="1282" t="s">
        <v>267</v>
      </c>
      <c r="B254" s="1230">
        <v>0.8</v>
      </c>
      <c r="C254" s="1283">
        <v>2.1</v>
      </c>
      <c r="D254" s="1283" t="str">
        <f>ROUNDUP(B254*C254,2)</f>
        <v>1.68</v>
      </c>
      <c r="E254" s="1283">
        <v>1.0</v>
      </c>
      <c r="F254" s="1284" t="str">
        <f>E254*D254</f>
        <v>1.68</v>
      </c>
      <c r="G254" s="124"/>
    </row>
    <row r="255" ht="14.25" customHeight="1">
      <c r="A255" s="1324" t="s">
        <v>1623</v>
      </c>
      <c r="B255" s="127"/>
      <c r="C255" s="127"/>
      <c r="D255" s="127"/>
      <c r="E255" s="127"/>
      <c r="F255" s="712"/>
      <c r="G255" s="1480" t="str">
        <f>ROUNDUP(F254,2)</f>
        <v>1.68</v>
      </c>
    </row>
    <row r="256" ht="14.25" customHeight="1">
      <c r="A256" s="1287"/>
      <c r="G256" s="571"/>
    </row>
    <row r="257" ht="14.25" customHeight="1">
      <c r="A257" s="1199" t="s">
        <v>1985</v>
      </c>
      <c r="B257" s="1200" t="s">
        <v>1986</v>
      </c>
      <c r="C257" s="28"/>
      <c r="D257" s="28"/>
      <c r="E257" s="28"/>
      <c r="F257" s="28"/>
      <c r="G257" s="29"/>
    </row>
    <row r="258" ht="14.25" customHeight="1">
      <c r="A258" s="1281" t="s">
        <v>1577</v>
      </c>
      <c r="B258" s="1259"/>
      <c r="C258" s="1259"/>
      <c r="D258" s="1259"/>
      <c r="E258" s="1259"/>
      <c r="F258" s="1259"/>
      <c r="G258" s="1260"/>
    </row>
    <row r="259" ht="14.25" customHeight="1">
      <c r="A259" s="1208" t="s">
        <v>1618</v>
      </c>
      <c r="B259" s="561"/>
      <c r="C259" s="561"/>
      <c r="D259" s="561"/>
      <c r="E259" s="561"/>
      <c r="F259" s="561"/>
      <c r="G259" s="124"/>
    </row>
    <row r="260" ht="14.25" customHeight="1">
      <c r="A260" s="1426" t="s">
        <v>1593</v>
      </c>
      <c r="B260" s="1427" t="s">
        <v>1619</v>
      </c>
      <c r="C260" s="1427" t="s">
        <v>1587</v>
      </c>
      <c r="D260" s="1427" t="s">
        <v>1620</v>
      </c>
      <c r="E260" s="1427" t="s">
        <v>1621</v>
      </c>
      <c r="F260" s="1429" t="s">
        <v>1622</v>
      </c>
      <c r="G260" s="124"/>
    </row>
    <row r="261" ht="14.25" customHeight="1">
      <c r="A261" s="1282" t="s">
        <v>1987</v>
      </c>
      <c r="B261" s="1230">
        <v>0.8</v>
      </c>
      <c r="C261" s="1283">
        <v>2.1</v>
      </c>
      <c r="D261" s="1283" t="str">
        <f>ROUNDUP(B261*C261,2)</f>
        <v>1.68</v>
      </c>
      <c r="E261" s="1283">
        <v>5.0</v>
      </c>
      <c r="F261" s="1284" t="str">
        <f>E261*D261</f>
        <v>8.40</v>
      </c>
      <c r="G261" s="124"/>
    </row>
    <row r="262" ht="14.25" customHeight="1">
      <c r="A262" s="1324" t="s">
        <v>1623</v>
      </c>
      <c r="B262" s="127"/>
      <c r="C262" s="127"/>
      <c r="D262" s="127"/>
      <c r="E262" s="127"/>
      <c r="F262" s="712"/>
      <c r="G262" s="1480" t="str">
        <f>ROUNDUP(F261,2)</f>
        <v>8.40</v>
      </c>
    </row>
    <row r="263" ht="14.25" customHeight="1">
      <c r="A263" s="1287"/>
      <c r="G263" s="571"/>
    </row>
    <row r="264" ht="14.25" customHeight="1">
      <c r="A264" s="1199" t="s">
        <v>1988</v>
      </c>
      <c r="B264" s="1200" t="s">
        <v>1986</v>
      </c>
      <c r="C264" s="28"/>
      <c r="D264" s="28"/>
      <c r="E264" s="28"/>
      <c r="F264" s="28"/>
      <c r="G264" s="29"/>
    </row>
    <row r="265" ht="14.25" customHeight="1">
      <c r="A265" s="1281" t="s">
        <v>1577</v>
      </c>
      <c r="B265" s="1259"/>
      <c r="C265" s="1259"/>
      <c r="D265" s="1259"/>
      <c r="E265" s="1259"/>
      <c r="F265" s="1259"/>
      <c r="G265" s="1260"/>
    </row>
    <row r="266" ht="14.25" customHeight="1">
      <c r="A266" s="1208" t="s">
        <v>1618</v>
      </c>
      <c r="B266" s="561"/>
      <c r="C266" s="561"/>
      <c r="D266" s="561"/>
      <c r="E266" s="561"/>
      <c r="F266" s="561"/>
      <c r="G266" s="124"/>
    </row>
    <row r="267" ht="14.25" customHeight="1">
      <c r="A267" s="1426" t="s">
        <v>1593</v>
      </c>
      <c r="B267" s="1427" t="s">
        <v>1619</v>
      </c>
      <c r="C267" s="1427" t="s">
        <v>1587</v>
      </c>
      <c r="D267" s="1427" t="s">
        <v>1620</v>
      </c>
      <c r="E267" s="1427" t="s">
        <v>1621</v>
      </c>
      <c r="F267" s="1429" t="s">
        <v>1622</v>
      </c>
      <c r="G267" s="124"/>
    </row>
    <row r="268" ht="14.25" customHeight="1">
      <c r="A268" s="1282" t="s">
        <v>1989</v>
      </c>
      <c r="B268" s="1230">
        <v>0.9</v>
      </c>
      <c r="C268" s="1283">
        <v>2.1</v>
      </c>
      <c r="D268" s="1283" t="str">
        <f>ROUNDUP(B268*C268,2)</f>
        <v>1.89</v>
      </c>
      <c r="E268" s="1283">
        <v>1.0</v>
      </c>
      <c r="F268" s="1284" t="str">
        <f>E268*D268</f>
        <v>1.89</v>
      </c>
      <c r="G268" s="124"/>
    </row>
    <row r="269" ht="14.25" customHeight="1">
      <c r="A269" s="1324" t="s">
        <v>1623</v>
      </c>
      <c r="B269" s="127"/>
      <c r="C269" s="127"/>
      <c r="D269" s="127"/>
      <c r="E269" s="127"/>
      <c r="F269" s="712"/>
      <c r="G269" s="1480" t="str">
        <f>ROUNDUP(F268,2)</f>
        <v>1.89</v>
      </c>
    </row>
    <row r="270" ht="14.25" customHeight="1">
      <c r="A270" s="1287"/>
      <c r="G270" s="571"/>
    </row>
    <row r="271" ht="14.25" customHeight="1">
      <c r="A271" s="1199" t="s">
        <v>1990</v>
      </c>
      <c r="B271" s="1200" t="s">
        <v>1617</v>
      </c>
      <c r="C271" s="28"/>
      <c r="D271" s="28"/>
      <c r="E271" s="28"/>
      <c r="F271" s="28"/>
      <c r="G271" s="29"/>
    </row>
    <row r="272" ht="14.25" customHeight="1">
      <c r="A272" s="1281" t="s">
        <v>1577</v>
      </c>
      <c r="B272" s="1259"/>
      <c r="C272" s="1259"/>
      <c r="D272" s="1259"/>
      <c r="E272" s="1259"/>
      <c r="F272" s="1259"/>
      <c r="G272" s="1260"/>
    </row>
    <row r="273" ht="14.25" customHeight="1">
      <c r="A273" s="1208" t="s">
        <v>1618</v>
      </c>
      <c r="B273" s="561"/>
      <c r="C273" s="561"/>
      <c r="D273" s="561"/>
      <c r="E273" s="561"/>
      <c r="F273" s="561"/>
      <c r="G273" s="124"/>
    </row>
    <row r="274" ht="14.25" customHeight="1">
      <c r="A274" s="1426" t="s">
        <v>1593</v>
      </c>
      <c r="B274" s="1427" t="s">
        <v>1619</v>
      </c>
      <c r="C274" s="1427" t="s">
        <v>1587</v>
      </c>
      <c r="D274" s="1427" t="s">
        <v>1620</v>
      </c>
      <c r="E274" s="1427" t="s">
        <v>1621</v>
      </c>
      <c r="F274" s="1429" t="s">
        <v>1622</v>
      </c>
      <c r="G274" s="124"/>
    </row>
    <row r="275" ht="14.25" customHeight="1">
      <c r="A275" s="1282" t="s">
        <v>292</v>
      </c>
      <c r="B275" s="1230">
        <v>1.5</v>
      </c>
      <c r="C275" s="1283">
        <v>2.45</v>
      </c>
      <c r="D275" s="1283" t="str">
        <f>ROUNDUP(B275*C275,2)</f>
        <v>3.68</v>
      </c>
      <c r="E275" s="1283">
        <v>1.0</v>
      </c>
      <c r="F275" s="1284" t="str">
        <f>E275*D275</f>
        <v>3.68</v>
      </c>
      <c r="G275" s="124"/>
    </row>
    <row r="276" ht="14.25" customHeight="1">
      <c r="A276" s="1324" t="s">
        <v>1623</v>
      </c>
      <c r="B276" s="127"/>
      <c r="C276" s="127"/>
      <c r="D276" s="127"/>
      <c r="E276" s="127"/>
      <c r="F276" s="712"/>
      <c r="G276" s="1480" t="str">
        <f>ROUNDUP(F275,2)</f>
        <v>3.68</v>
      </c>
    </row>
    <row r="277" ht="14.25" customHeight="1">
      <c r="A277" s="1287"/>
      <c r="B277" s="1288"/>
      <c r="C277" s="1289"/>
      <c r="D277" s="1289"/>
      <c r="E277" s="1289"/>
      <c r="F277" s="1289"/>
      <c r="G277" s="1290"/>
    </row>
    <row r="278" ht="14.25" customHeight="1">
      <c r="A278" s="1199" t="s">
        <v>1991</v>
      </c>
      <c r="B278" s="1200" t="s">
        <v>1624</v>
      </c>
      <c r="C278" s="28"/>
      <c r="D278" s="28"/>
      <c r="E278" s="28"/>
      <c r="F278" s="28"/>
      <c r="G278" s="29"/>
    </row>
    <row r="279" ht="14.25" customHeight="1">
      <c r="A279" s="1281" t="s">
        <v>1577</v>
      </c>
      <c r="B279" s="1259"/>
      <c r="C279" s="1259"/>
      <c r="D279" s="1259"/>
      <c r="E279" s="1259"/>
      <c r="F279" s="1259"/>
      <c r="G279" s="1260"/>
    </row>
    <row r="280" ht="14.25" customHeight="1">
      <c r="A280" s="1208" t="s">
        <v>1618</v>
      </c>
      <c r="B280" s="561"/>
      <c r="C280" s="561"/>
      <c r="D280" s="561"/>
      <c r="E280" s="561"/>
      <c r="F280" s="561"/>
      <c r="G280" s="124"/>
    </row>
    <row r="281" ht="14.25" customHeight="1">
      <c r="A281" s="1426" t="s">
        <v>1593</v>
      </c>
      <c r="B281" s="1427" t="s">
        <v>1619</v>
      </c>
      <c r="C281" s="1427" t="s">
        <v>1587</v>
      </c>
      <c r="D281" s="1427" t="s">
        <v>1620</v>
      </c>
      <c r="E281" s="1427" t="s">
        <v>1621</v>
      </c>
      <c r="F281" s="1429" t="s">
        <v>1622</v>
      </c>
      <c r="G281" s="124"/>
    </row>
    <row r="282" ht="14.25" customHeight="1">
      <c r="A282" s="1282" t="s">
        <v>296</v>
      </c>
      <c r="B282" s="1230">
        <v>3.9</v>
      </c>
      <c r="C282" s="1283">
        <v>2.45</v>
      </c>
      <c r="D282" s="1283" t="str">
        <f>ROUNDUP(B282*C282,2)</f>
        <v>9.56</v>
      </c>
      <c r="E282" s="1283">
        <v>2.0</v>
      </c>
      <c r="F282" s="1284" t="str">
        <f>E282*D282</f>
        <v>19.12</v>
      </c>
      <c r="G282" s="124"/>
    </row>
    <row r="283" ht="14.25" customHeight="1">
      <c r="A283" s="1324" t="s">
        <v>1623</v>
      </c>
      <c r="B283" s="127"/>
      <c r="C283" s="127"/>
      <c r="D283" s="127"/>
      <c r="E283" s="127"/>
      <c r="F283" s="712"/>
      <c r="G283" s="1480" t="str">
        <f>ROUNDUP(F282,2)</f>
        <v>19.12</v>
      </c>
    </row>
    <row r="284" ht="14.25" customHeight="1">
      <c r="A284" s="1287"/>
      <c r="B284" s="1288"/>
      <c r="C284" s="1289"/>
      <c r="D284" s="1289"/>
      <c r="E284" s="1289"/>
      <c r="F284" s="1289"/>
      <c r="G284" s="1290"/>
    </row>
    <row r="285" ht="14.25" customHeight="1">
      <c r="A285" s="1199" t="s">
        <v>1992</v>
      </c>
      <c r="B285" s="1200" t="s">
        <v>1993</v>
      </c>
      <c r="C285" s="28"/>
      <c r="D285" s="28"/>
      <c r="E285" s="28"/>
      <c r="F285" s="28"/>
      <c r="G285" s="29"/>
    </row>
    <row r="286" ht="14.25" customHeight="1">
      <c r="A286" s="1281" t="s">
        <v>1577</v>
      </c>
      <c r="B286" s="1259"/>
      <c r="C286" s="1259"/>
      <c r="D286" s="1259"/>
      <c r="E286" s="1259"/>
      <c r="F286" s="1259"/>
      <c r="G286" s="1260"/>
    </row>
    <row r="287" ht="14.25" customHeight="1">
      <c r="A287" s="1208" t="s">
        <v>1618</v>
      </c>
      <c r="B287" s="561"/>
      <c r="C287" s="561"/>
      <c r="D287" s="561"/>
      <c r="E287" s="561"/>
      <c r="F287" s="561"/>
      <c r="G287" s="124"/>
    </row>
    <row r="288" ht="14.25" customHeight="1">
      <c r="A288" s="1426" t="s">
        <v>1593</v>
      </c>
      <c r="B288" s="1427" t="s">
        <v>1619</v>
      </c>
      <c r="C288" s="1427" t="s">
        <v>1587</v>
      </c>
      <c r="D288" s="1427" t="s">
        <v>1620</v>
      </c>
      <c r="E288" s="1427" t="s">
        <v>1621</v>
      </c>
      <c r="F288" s="1429" t="s">
        <v>1622</v>
      </c>
      <c r="G288" s="124"/>
    </row>
    <row r="289" ht="14.25" customHeight="1">
      <c r="A289" s="1282" t="s">
        <v>1994</v>
      </c>
      <c r="B289" s="1230">
        <v>1.1</v>
      </c>
      <c r="C289" s="1283">
        <v>0.6</v>
      </c>
      <c r="D289" s="1283" t="str">
        <f>ROUNDUP(B289*C289,2)</f>
        <v>0.66</v>
      </c>
      <c r="E289" s="1283">
        <v>11.0</v>
      </c>
      <c r="F289" s="1284" t="str">
        <f>E289*D289</f>
        <v>7.26</v>
      </c>
      <c r="G289" s="124"/>
    </row>
    <row r="290" ht="14.25" customHeight="1">
      <c r="A290" s="1324" t="s">
        <v>1623</v>
      </c>
      <c r="B290" s="127"/>
      <c r="C290" s="127"/>
      <c r="D290" s="127"/>
      <c r="E290" s="127"/>
      <c r="F290" s="712"/>
      <c r="G290" s="1480" t="str">
        <f>ROUNDUP(F289,2)</f>
        <v>7.26</v>
      </c>
    </row>
    <row r="291" ht="14.25" customHeight="1">
      <c r="A291" s="1287"/>
      <c r="B291" s="1288"/>
      <c r="C291" s="1289"/>
      <c r="D291" s="1289"/>
      <c r="E291" s="1289"/>
      <c r="F291" s="1289"/>
      <c r="G291" s="1290"/>
    </row>
    <row r="292" ht="14.25" customHeight="1">
      <c r="A292" s="1199" t="s">
        <v>1995</v>
      </c>
      <c r="B292" s="1200" t="s">
        <v>1993</v>
      </c>
      <c r="C292" s="28"/>
      <c r="D292" s="28"/>
      <c r="E292" s="28"/>
      <c r="F292" s="28"/>
      <c r="G292" s="29"/>
    </row>
    <row r="293" ht="14.25" customHeight="1">
      <c r="A293" s="1281" t="s">
        <v>1577</v>
      </c>
      <c r="B293" s="1259"/>
      <c r="C293" s="1259"/>
      <c r="D293" s="1259"/>
      <c r="E293" s="1259"/>
      <c r="F293" s="1259"/>
      <c r="G293" s="1260"/>
    </row>
    <row r="294" ht="14.25" customHeight="1">
      <c r="A294" s="1208" t="s">
        <v>1618</v>
      </c>
      <c r="B294" s="561"/>
      <c r="C294" s="561"/>
      <c r="D294" s="561"/>
      <c r="E294" s="561"/>
      <c r="F294" s="561"/>
      <c r="G294" s="124"/>
    </row>
    <row r="295" ht="14.25" customHeight="1">
      <c r="A295" s="1426" t="s">
        <v>1593</v>
      </c>
      <c r="B295" s="1427" t="s">
        <v>1619</v>
      </c>
      <c r="C295" s="1427" t="s">
        <v>1587</v>
      </c>
      <c r="D295" s="1427" t="s">
        <v>1620</v>
      </c>
      <c r="E295" s="1427" t="s">
        <v>1621</v>
      </c>
      <c r="F295" s="1429" t="s">
        <v>1622</v>
      </c>
      <c r="G295" s="124"/>
    </row>
    <row r="296" ht="14.25" customHeight="1">
      <c r="A296" s="1282" t="s">
        <v>1996</v>
      </c>
      <c r="B296" s="1230">
        <v>2.3</v>
      </c>
      <c r="C296" s="1283">
        <v>1.1</v>
      </c>
      <c r="D296" s="1283" t="str">
        <f>ROUNDUP(B296*C296,2)</f>
        <v>2.53</v>
      </c>
      <c r="E296" s="1283">
        <v>6.0</v>
      </c>
      <c r="F296" s="1284" t="str">
        <f>E296*D296</f>
        <v>15.18</v>
      </c>
      <c r="G296" s="124"/>
    </row>
    <row r="297" ht="14.25" customHeight="1">
      <c r="A297" s="1324" t="s">
        <v>1623</v>
      </c>
      <c r="B297" s="127"/>
      <c r="C297" s="127"/>
      <c r="D297" s="127"/>
      <c r="E297" s="127"/>
      <c r="F297" s="712"/>
      <c r="G297" s="1480" t="str">
        <f>ROUNDUP(F296,2)</f>
        <v>15.18</v>
      </c>
    </row>
    <row r="298" ht="14.25" customHeight="1">
      <c r="A298" s="1287"/>
      <c r="B298" s="1288"/>
      <c r="C298" s="1289"/>
      <c r="D298" s="1289"/>
      <c r="E298" s="1289"/>
      <c r="F298" s="1289"/>
      <c r="G298" s="1290"/>
    </row>
    <row r="299" ht="14.25" customHeight="1">
      <c r="A299" s="1199" t="s">
        <v>1997</v>
      </c>
      <c r="B299" s="1200" t="s">
        <v>1998</v>
      </c>
      <c r="C299" s="28"/>
      <c r="D299" s="28"/>
      <c r="E299" s="28"/>
      <c r="F299" s="28"/>
      <c r="G299" s="29"/>
    </row>
    <row r="300" ht="14.25" customHeight="1">
      <c r="A300" s="1281" t="s">
        <v>1577</v>
      </c>
      <c r="B300" s="1259"/>
      <c r="C300" s="1259"/>
      <c r="D300" s="1259"/>
      <c r="E300" s="1259"/>
      <c r="F300" s="1259"/>
      <c r="G300" s="1260"/>
    </row>
    <row r="301" ht="14.25" customHeight="1">
      <c r="A301" s="1208" t="s">
        <v>1618</v>
      </c>
      <c r="B301" s="561"/>
      <c r="C301" s="561"/>
      <c r="D301" s="561"/>
      <c r="E301" s="561"/>
      <c r="F301" s="561"/>
      <c r="G301" s="124"/>
    </row>
    <row r="302" ht="14.25" customHeight="1">
      <c r="A302" s="1426" t="s">
        <v>1593</v>
      </c>
      <c r="B302" s="1427" t="s">
        <v>1619</v>
      </c>
      <c r="C302" s="1427" t="s">
        <v>1587</v>
      </c>
      <c r="D302" s="1427" t="s">
        <v>1620</v>
      </c>
      <c r="E302" s="1427" t="s">
        <v>1621</v>
      </c>
      <c r="F302" s="1429" t="s">
        <v>1622</v>
      </c>
      <c r="G302" s="124"/>
    </row>
    <row r="303" ht="14.25" customHeight="1">
      <c r="A303" s="1282" t="s">
        <v>286</v>
      </c>
      <c r="B303" s="1230">
        <v>2.2</v>
      </c>
      <c r="C303" s="1283">
        <v>1.1</v>
      </c>
      <c r="D303" s="1283" t="str">
        <f>ROUNDUP(B303*C303,2)</f>
        <v>2.42</v>
      </c>
      <c r="E303" s="1283">
        <v>2.0</v>
      </c>
      <c r="F303" s="1284" t="str">
        <f>E303*D303</f>
        <v>4.84</v>
      </c>
      <c r="G303" s="124"/>
    </row>
    <row r="304" ht="14.25" customHeight="1">
      <c r="A304" s="1324" t="s">
        <v>1623</v>
      </c>
      <c r="B304" s="127"/>
      <c r="C304" s="127"/>
      <c r="D304" s="127"/>
      <c r="E304" s="127"/>
      <c r="F304" s="712"/>
      <c r="G304" s="1480" t="str">
        <f>ROUNDUP(F303,2)</f>
        <v>4.84</v>
      </c>
    </row>
    <row r="305" ht="14.25" customHeight="1">
      <c r="A305" s="1287"/>
      <c r="B305" s="1288"/>
      <c r="C305" s="1289"/>
      <c r="D305" s="1289"/>
      <c r="E305" s="1289"/>
      <c r="F305" s="1289"/>
      <c r="G305" s="1290"/>
    </row>
    <row r="306" ht="14.25" customHeight="1">
      <c r="A306" s="1199" t="s">
        <v>1999</v>
      </c>
      <c r="B306" s="1200" t="s">
        <v>1993</v>
      </c>
      <c r="C306" s="28"/>
      <c r="D306" s="28"/>
      <c r="E306" s="28"/>
      <c r="F306" s="28"/>
      <c r="G306" s="29"/>
    </row>
    <row r="307" ht="14.25" customHeight="1">
      <c r="A307" s="1281" t="s">
        <v>1577</v>
      </c>
      <c r="B307" s="1259"/>
      <c r="C307" s="1259"/>
      <c r="D307" s="1259"/>
      <c r="E307" s="1259"/>
      <c r="F307" s="1259"/>
      <c r="G307" s="1260"/>
    </row>
    <row r="308" ht="14.25" customHeight="1">
      <c r="A308" s="1208" t="s">
        <v>1618</v>
      </c>
      <c r="B308" s="561"/>
      <c r="C308" s="561"/>
      <c r="D308" s="561"/>
      <c r="E308" s="561"/>
      <c r="F308" s="561"/>
      <c r="G308" s="124"/>
    </row>
    <row r="309" ht="14.25" customHeight="1">
      <c r="A309" s="1426" t="s">
        <v>1593</v>
      </c>
      <c r="B309" s="1427" t="s">
        <v>1619</v>
      </c>
      <c r="C309" s="1427" t="s">
        <v>1587</v>
      </c>
      <c r="D309" s="1427" t="s">
        <v>1620</v>
      </c>
      <c r="E309" s="1427" t="s">
        <v>1621</v>
      </c>
      <c r="F309" s="1429" t="s">
        <v>1622</v>
      </c>
      <c r="G309" s="124"/>
    </row>
    <row r="310" ht="14.25" customHeight="1">
      <c r="A310" s="1282" t="s">
        <v>2000</v>
      </c>
      <c r="B310" s="1230">
        <v>1.2</v>
      </c>
      <c r="C310" s="1283">
        <v>1.6</v>
      </c>
      <c r="D310" s="1283" t="str">
        <f>ROUNDUP(B310*C310,2)</f>
        <v>1.92</v>
      </c>
      <c r="E310" s="1283">
        <v>1.0</v>
      </c>
      <c r="F310" s="1284" t="str">
        <f>E310*D310</f>
        <v>1.92</v>
      </c>
      <c r="G310" s="124"/>
    </row>
    <row r="311" ht="14.25" customHeight="1">
      <c r="A311" s="1324" t="s">
        <v>1623</v>
      </c>
      <c r="B311" s="127"/>
      <c r="C311" s="127"/>
      <c r="D311" s="127"/>
      <c r="E311" s="127"/>
      <c r="F311" s="712"/>
      <c r="G311" s="1480" t="str">
        <f>ROUNDUP(F310,2)</f>
        <v>1.92</v>
      </c>
    </row>
    <row r="312" ht="14.25" customHeight="1">
      <c r="A312" s="1287"/>
      <c r="B312" s="1288"/>
      <c r="C312" s="1289"/>
      <c r="D312" s="1289"/>
      <c r="E312" s="1289"/>
      <c r="F312" s="1289"/>
      <c r="G312" s="1290"/>
    </row>
    <row r="313" ht="14.25" customHeight="1">
      <c r="A313" s="1199" t="s">
        <v>2001</v>
      </c>
      <c r="B313" s="1200" t="s">
        <v>1993</v>
      </c>
      <c r="C313" s="28"/>
      <c r="D313" s="28"/>
      <c r="E313" s="28"/>
      <c r="F313" s="28"/>
      <c r="G313" s="29"/>
    </row>
    <row r="314" ht="14.25" customHeight="1">
      <c r="A314" s="1281" t="s">
        <v>1577</v>
      </c>
      <c r="B314" s="1259"/>
      <c r="C314" s="1259"/>
      <c r="D314" s="1259"/>
      <c r="E314" s="1259"/>
      <c r="F314" s="1259"/>
      <c r="G314" s="1260"/>
    </row>
    <row r="315" ht="14.25" customHeight="1">
      <c r="A315" s="1208" t="s">
        <v>1618</v>
      </c>
      <c r="B315" s="561"/>
      <c r="C315" s="561"/>
      <c r="D315" s="561"/>
      <c r="E315" s="561"/>
      <c r="F315" s="561"/>
      <c r="G315" s="124"/>
    </row>
    <row r="316" ht="14.25" customHeight="1">
      <c r="A316" s="1426" t="s">
        <v>1593</v>
      </c>
      <c r="B316" s="1427" t="s">
        <v>1619</v>
      </c>
      <c r="C316" s="1427" t="s">
        <v>1587</v>
      </c>
      <c r="D316" s="1427" t="s">
        <v>1620</v>
      </c>
      <c r="E316" s="1427" t="s">
        <v>1621</v>
      </c>
      <c r="F316" s="1429" t="s">
        <v>1622</v>
      </c>
      <c r="G316" s="124"/>
    </row>
    <row r="317" ht="14.25" customHeight="1">
      <c r="A317" s="1282" t="s">
        <v>2002</v>
      </c>
      <c r="B317" s="1230">
        <v>0.4</v>
      </c>
      <c r="C317" s="1283">
        <v>0.6</v>
      </c>
      <c r="D317" s="1283" t="str">
        <f>ROUNDUP(B317*C317,2)</f>
        <v>0.24</v>
      </c>
      <c r="E317" s="1283">
        <v>2.0</v>
      </c>
      <c r="F317" s="1284" t="str">
        <f>E317*D317</f>
        <v>0.48</v>
      </c>
      <c r="G317" s="124"/>
    </row>
    <row r="318" ht="14.25" customHeight="1">
      <c r="A318" s="1324" t="s">
        <v>1623</v>
      </c>
      <c r="B318" s="127"/>
      <c r="C318" s="127"/>
      <c r="D318" s="127"/>
      <c r="E318" s="127"/>
      <c r="F318" s="712"/>
      <c r="G318" s="1480" t="str">
        <f>ROUNDUP(F317,2)</f>
        <v>0.48</v>
      </c>
    </row>
    <row r="319" ht="14.25" customHeight="1">
      <c r="A319" s="1287"/>
      <c r="B319" s="1288"/>
      <c r="C319" s="1289"/>
      <c r="D319" s="1289"/>
      <c r="E319" s="1289"/>
      <c r="F319" s="1289"/>
      <c r="G319" s="1290"/>
    </row>
    <row r="320" ht="14.25" customHeight="1">
      <c r="A320" s="1199" t="s">
        <v>2003</v>
      </c>
      <c r="B320" s="1200" t="s">
        <v>2004</v>
      </c>
      <c r="C320" s="28"/>
      <c r="D320" s="28"/>
      <c r="E320" s="28"/>
      <c r="F320" s="28"/>
      <c r="G320" s="29"/>
    </row>
    <row r="321" ht="14.25" customHeight="1">
      <c r="A321" s="1223" t="s">
        <v>1577</v>
      </c>
      <c r="B321" s="561"/>
      <c r="C321" s="561"/>
      <c r="D321" s="561"/>
      <c r="E321" s="561"/>
      <c r="F321" s="561"/>
      <c r="G321" s="124"/>
    </row>
    <row r="322" ht="14.25" customHeight="1">
      <c r="A322" s="1208" t="s">
        <v>2005</v>
      </c>
      <c r="B322" s="561"/>
      <c r="C322" s="561"/>
      <c r="D322" s="561"/>
      <c r="E322" s="561"/>
      <c r="F322" s="561"/>
      <c r="G322" s="124"/>
    </row>
    <row r="323" ht="14.25" customHeight="1">
      <c r="A323" s="1426" t="s">
        <v>2006</v>
      </c>
      <c r="B323" s="1427" t="s">
        <v>1941</v>
      </c>
      <c r="C323" s="1427" t="s">
        <v>2007</v>
      </c>
      <c r="D323" s="1427" t="s">
        <v>1621</v>
      </c>
      <c r="E323" s="1427" t="s">
        <v>1634</v>
      </c>
      <c r="F323" s="1429"/>
      <c r="G323" s="124"/>
    </row>
    <row r="324" ht="14.25" customHeight="1">
      <c r="A324" s="1282" t="s">
        <v>1994</v>
      </c>
      <c r="B324" s="1230">
        <v>0.2</v>
      </c>
      <c r="C324" s="1230">
        <v>1.1</v>
      </c>
      <c r="D324" s="1484">
        <v>11.0</v>
      </c>
      <c r="E324" s="1486" t="str">
        <f t="shared" ref="E324:E327" si="11">C324*D324</f>
        <v>12.1</v>
      </c>
      <c r="F324" s="1486" t="s">
        <v>2008</v>
      </c>
      <c r="G324" s="855"/>
    </row>
    <row r="325" ht="14.25" customHeight="1">
      <c r="A325" s="1282" t="s">
        <v>1996</v>
      </c>
      <c r="B325" s="1230">
        <v>0.2</v>
      </c>
      <c r="C325" s="1230">
        <v>2.3</v>
      </c>
      <c r="D325" s="1484">
        <v>6.0</v>
      </c>
      <c r="E325" s="1486" t="str">
        <f t="shared" si="11"/>
        <v>13.8</v>
      </c>
      <c r="F325" s="1258"/>
      <c r="G325" s="571"/>
    </row>
    <row r="326" ht="14.25" customHeight="1">
      <c r="A326" s="1282" t="s">
        <v>286</v>
      </c>
      <c r="B326" s="1230">
        <v>0.2</v>
      </c>
      <c r="C326" s="1230">
        <v>2.2</v>
      </c>
      <c r="D326" s="1484">
        <v>2.0</v>
      </c>
      <c r="E326" s="1486" t="str">
        <f t="shared" si="11"/>
        <v>4.4</v>
      </c>
      <c r="F326" s="1258"/>
      <c r="G326" s="571"/>
    </row>
    <row r="327" ht="14.25" customHeight="1">
      <c r="A327" s="1282" t="s">
        <v>2000</v>
      </c>
      <c r="B327" s="1230">
        <v>0.2</v>
      </c>
      <c r="C327" s="1230">
        <v>1.2</v>
      </c>
      <c r="D327" s="1484">
        <v>1.0</v>
      </c>
      <c r="E327" s="1486" t="str">
        <f t="shared" si="11"/>
        <v>1.2</v>
      </c>
      <c r="F327" s="1258"/>
      <c r="G327" s="571"/>
    </row>
    <row r="328" ht="14.25" customHeight="1">
      <c r="A328" s="1324" t="s">
        <v>1467</v>
      </c>
      <c r="B328" s="127"/>
      <c r="C328" s="127"/>
      <c r="D328" s="712"/>
      <c r="E328" s="1519" t="str">
        <f>SUM(E324:E327)</f>
        <v>31.50</v>
      </c>
      <c r="F328" s="1527"/>
      <c r="G328" s="1528"/>
    </row>
    <row r="329" ht="14.25" customHeight="1">
      <c r="A329" s="1183"/>
      <c r="B329" s="1184"/>
      <c r="C329" s="1184"/>
      <c r="D329" s="1184"/>
      <c r="E329" s="1184"/>
      <c r="F329" s="1184"/>
      <c r="G329" s="1185"/>
    </row>
    <row r="330" ht="14.25" customHeight="1">
      <c r="A330" s="1199" t="s">
        <v>2009</v>
      </c>
      <c r="B330" s="1200" t="s">
        <v>806</v>
      </c>
      <c r="C330" s="28"/>
      <c r="D330" s="28"/>
      <c r="E330" s="28"/>
      <c r="F330" s="28"/>
      <c r="G330" s="29"/>
    </row>
    <row r="331" ht="14.25" customHeight="1">
      <c r="A331" s="1207" t="s">
        <v>1577</v>
      </c>
      <c r="B331" s="107"/>
      <c r="C331" s="107"/>
      <c r="D331" s="107"/>
      <c r="E331" s="107"/>
      <c r="F331" s="107"/>
      <c r="G331" s="781"/>
    </row>
    <row r="332" ht="14.25" customHeight="1">
      <c r="A332" s="1272" t="s">
        <v>2005</v>
      </c>
      <c r="B332" s="127"/>
      <c r="C332" s="127"/>
      <c r="D332" s="127"/>
      <c r="E332" s="127"/>
      <c r="F332" s="127"/>
      <c r="G332" s="128"/>
    </row>
    <row r="333" ht="14.25" customHeight="1">
      <c r="A333" s="1426" t="s">
        <v>1585</v>
      </c>
      <c r="B333" s="1427" t="s">
        <v>1586</v>
      </c>
      <c r="C333" s="1428" t="s">
        <v>1941</v>
      </c>
      <c r="D333" s="1427" t="s">
        <v>1588</v>
      </c>
      <c r="E333" s="1429" t="s">
        <v>1580</v>
      </c>
      <c r="F333" s="561"/>
      <c r="G333" s="124"/>
    </row>
    <row r="334" ht="14.25" customHeight="1">
      <c r="A334" s="1529" t="s">
        <v>2010</v>
      </c>
      <c r="B334" s="1530" t="str">
        <f>5.4+2.9</f>
        <v>8.30</v>
      </c>
      <c r="C334" s="1531">
        <v>0.05</v>
      </c>
      <c r="D334" s="1530" t="str">
        <f>B334*C334</f>
        <v>0.42</v>
      </c>
      <c r="E334" s="1532"/>
      <c r="F334" s="127"/>
      <c r="G334" s="128"/>
    </row>
    <row r="335" ht="14.25" customHeight="1">
      <c r="A335" s="1183"/>
      <c r="B335" s="1184"/>
      <c r="C335" s="1184"/>
      <c r="D335" s="1184"/>
      <c r="E335" s="1184"/>
      <c r="F335" s="1184"/>
      <c r="G335" s="1185"/>
    </row>
    <row r="336" ht="14.25" customHeight="1">
      <c r="A336" s="1199" t="s">
        <v>2011</v>
      </c>
      <c r="B336" s="1200" t="s">
        <v>2012</v>
      </c>
      <c r="C336" s="28"/>
      <c r="D336" s="28"/>
      <c r="E336" s="28"/>
      <c r="F336" s="28"/>
      <c r="G336" s="29"/>
    </row>
    <row r="337" ht="14.25" customHeight="1">
      <c r="A337" s="1223" t="s">
        <v>1577</v>
      </c>
      <c r="B337" s="561"/>
      <c r="C337" s="561"/>
      <c r="D337" s="561"/>
      <c r="E337" s="561"/>
      <c r="F337" s="561"/>
      <c r="G337" s="124"/>
    </row>
    <row r="338" ht="14.25" customHeight="1">
      <c r="A338" s="1208" t="s">
        <v>2005</v>
      </c>
      <c r="B338" s="561"/>
      <c r="C338" s="561"/>
      <c r="D338" s="561"/>
      <c r="E338" s="561"/>
      <c r="F338" s="561"/>
      <c r="G338" s="124"/>
    </row>
    <row r="339" ht="14.25" customHeight="1">
      <c r="A339" s="1426" t="s">
        <v>2006</v>
      </c>
      <c r="B339" s="1427" t="s">
        <v>1941</v>
      </c>
      <c r="C339" s="1427" t="s">
        <v>2007</v>
      </c>
      <c r="D339" s="1427" t="s">
        <v>1621</v>
      </c>
      <c r="E339" s="1427" t="s">
        <v>1634</v>
      </c>
      <c r="F339" s="1429"/>
      <c r="G339" s="124"/>
    </row>
    <row r="340" ht="14.25" customHeight="1">
      <c r="A340" s="1282" t="s">
        <v>300</v>
      </c>
      <c r="B340" s="1498">
        <v>0.16</v>
      </c>
      <c r="C340" s="1498">
        <v>1.3</v>
      </c>
      <c r="D340" s="1296">
        <v>1.0</v>
      </c>
      <c r="E340" s="1307" t="str">
        <f t="shared" ref="E340:E342" si="12">C340*D340</f>
        <v>1.30</v>
      </c>
      <c r="F340" s="1486" t="s">
        <v>2013</v>
      </c>
      <c r="G340" s="855"/>
    </row>
    <row r="341" ht="14.25" customHeight="1">
      <c r="A341" s="1282" t="s">
        <v>962</v>
      </c>
      <c r="B341" s="1498">
        <v>0.16</v>
      </c>
      <c r="C341" s="1498">
        <v>0.9</v>
      </c>
      <c r="D341" s="1230">
        <v>1.0</v>
      </c>
      <c r="E341" s="1307" t="str">
        <f t="shared" si="12"/>
        <v>0.90</v>
      </c>
      <c r="F341" s="1258"/>
      <c r="G341" s="571"/>
    </row>
    <row r="342" ht="14.25" customHeight="1">
      <c r="A342" s="1282" t="s">
        <v>1989</v>
      </c>
      <c r="B342" s="1498">
        <v>0.16</v>
      </c>
      <c r="C342" s="1498">
        <v>1.6</v>
      </c>
      <c r="D342" s="1230">
        <v>1.0</v>
      </c>
      <c r="E342" s="1307" t="str">
        <f t="shared" si="12"/>
        <v>1.60</v>
      </c>
      <c r="F342" s="38"/>
      <c r="G342" s="1260"/>
    </row>
    <row r="343" ht="14.25" customHeight="1">
      <c r="A343" s="1324" t="s">
        <v>1467</v>
      </c>
      <c r="B343" s="127"/>
      <c r="C343" s="127"/>
      <c r="D343" s="712"/>
      <c r="E343" s="1519" t="str">
        <f>ROUNDUP(E340+E341+E342,2)</f>
        <v>3.80</v>
      </c>
      <c r="F343" s="1533"/>
      <c r="G343" s="1534"/>
    </row>
    <row r="344" ht="14.25" customHeight="1">
      <c r="A344" s="1183"/>
      <c r="B344" s="1184"/>
      <c r="C344" s="1184"/>
      <c r="D344" s="1184"/>
      <c r="E344" s="1184"/>
      <c r="F344" s="1184"/>
      <c r="G344" s="1185"/>
    </row>
    <row r="345" ht="14.25" customHeight="1">
      <c r="A345" s="1199" t="s">
        <v>2014</v>
      </c>
      <c r="B345" s="1200" t="s">
        <v>2015</v>
      </c>
      <c r="C345" s="28"/>
      <c r="D345" s="28"/>
      <c r="E345" s="28"/>
      <c r="F345" s="28"/>
      <c r="G345" s="29"/>
    </row>
    <row r="346" ht="14.25" customHeight="1">
      <c r="A346" s="1199" t="s">
        <v>302</v>
      </c>
      <c r="B346" s="1200" t="s">
        <v>2016</v>
      </c>
      <c r="C346" s="28"/>
      <c r="D346" s="28"/>
      <c r="E346" s="28"/>
      <c r="F346" s="28"/>
      <c r="G346" s="29"/>
    </row>
    <row r="347" ht="14.25" customHeight="1">
      <c r="A347" s="1281" t="s">
        <v>1577</v>
      </c>
      <c r="B347" s="1259"/>
      <c r="C347" s="1259"/>
      <c r="D347" s="1259"/>
      <c r="E347" s="1259"/>
      <c r="F347" s="1259"/>
      <c r="G347" s="1260"/>
    </row>
    <row r="348" ht="14.25" customHeight="1">
      <c r="A348" s="1510" t="s">
        <v>2017</v>
      </c>
      <c r="B348" s="854"/>
      <c r="C348" s="854"/>
      <c r="D348" s="854"/>
      <c r="E348" s="854"/>
      <c r="F348" s="854"/>
      <c r="G348" s="855"/>
    </row>
    <row r="349" ht="14.25" customHeight="1">
      <c r="A349" s="1510"/>
      <c r="B349" s="854"/>
      <c r="C349" s="854"/>
      <c r="D349" s="854"/>
      <c r="E349" s="854"/>
      <c r="F349" s="854"/>
      <c r="G349" s="855"/>
    </row>
    <row r="350" ht="14.25" customHeight="1">
      <c r="A350" s="1276"/>
      <c r="B350" s="1277"/>
      <c r="C350" s="1277"/>
      <c r="D350" s="1277"/>
      <c r="E350" s="1277"/>
      <c r="F350" s="1277"/>
      <c r="G350" s="1278"/>
    </row>
    <row r="351" ht="14.25" customHeight="1">
      <c r="A351" s="1276"/>
      <c r="B351" s="1277"/>
      <c r="C351" s="1277"/>
      <c r="D351" s="1277"/>
      <c r="E351" s="1277"/>
      <c r="F351" s="1277"/>
      <c r="G351" s="1278"/>
    </row>
    <row r="352" ht="14.25" customHeight="1">
      <c r="A352" s="1276"/>
      <c r="B352" s="1277"/>
      <c r="C352" s="1277"/>
      <c r="D352" s="1277"/>
      <c r="E352" s="1277"/>
      <c r="F352" s="1277"/>
      <c r="G352" s="1278"/>
    </row>
    <row r="353" ht="14.25" customHeight="1">
      <c r="A353" s="1276"/>
      <c r="B353" s="1277"/>
      <c r="C353" s="1277"/>
      <c r="D353" s="1277"/>
      <c r="E353" s="1277"/>
      <c r="F353" s="1277"/>
      <c r="G353" s="1278"/>
    </row>
    <row r="354" ht="14.25" customHeight="1">
      <c r="A354" s="1276"/>
      <c r="B354" s="1277"/>
      <c r="C354" s="1277"/>
      <c r="D354" s="1277"/>
      <c r="E354" s="1277"/>
      <c r="F354" s="1277"/>
      <c r="G354" s="1278"/>
    </row>
    <row r="355" ht="14.25" customHeight="1">
      <c r="A355" s="1276"/>
      <c r="B355" s="1277"/>
      <c r="C355" s="1277"/>
      <c r="D355" s="1277"/>
      <c r="E355" s="1277"/>
      <c r="F355" s="1277"/>
      <c r="G355" s="1278"/>
    </row>
    <row r="356" ht="14.25" customHeight="1">
      <c r="A356" s="1276"/>
      <c r="B356" s="1277"/>
      <c r="C356" s="1277"/>
      <c r="D356" s="1277"/>
      <c r="E356" s="1277"/>
      <c r="F356" s="1277"/>
      <c r="G356" s="1278"/>
    </row>
    <row r="357" ht="14.25" customHeight="1">
      <c r="A357" s="1276"/>
      <c r="B357" s="1277"/>
      <c r="C357" s="1277"/>
      <c r="D357" s="1277"/>
      <c r="E357" s="1277"/>
      <c r="F357" s="1277"/>
      <c r="G357" s="1278"/>
    </row>
    <row r="358" ht="14.25" customHeight="1">
      <c r="A358" s="1276"/>
      <c r="B358" s="1277"/>
      <c r="C358" s="1277"/>
      <c r="D358" s="1277"/>
      <c r="E358" s="1277"/>
      <c r="F358" s="1277"/>
      <c r="G358" s="1278"/>
    </row>
    <row r="359" ht="14.25" customHeight="1">
      <c r="A359" s="1276"/>
      <c r="B359" s="1277"/>
      <c r="C359" s="1277"/>
      <c r="D359" s="1277"/>
      <c r="E359" s="1277"/>
      <c r="F359" s="1277"/>
      <c r="G359" s="1278"/>
    </row>
    <row r="360" ht="14.25" customHeight="1">
      <c r="A360" s="1276"/>
      <c r="B360" s="1277"/>
      <c r="C360" s="1277"/>
      <c r="D360" s="1277"/>
      <c r="E360" s="1442" t="s">
        <v>1886</v>
      </c>
      <c r="G360" s="1278"/>
    </row>
    <row r="361" ht="14.25" customHeight="1">
      <c r="A361" s="1426" t="s">
        <v>1585</v>
      </c>
      <c r="B361" s="1427" t="s">
        <v>1585</v>
      </c>
      <c r="C361" s="1427" t="s">
        <v>1899</v>
      </c>
      <c r="D361" s="1427" t="s">
        <v>1620</v>
      </c>
      <c r="E361" s="1427" t="s">
        <v>1900</v>
      </c>
      <c r="F361" s="1427" t="s">
        <v>1901</v>
      </c>
      <c r="G361" s="1463" t="s">
        <v>1902</v>
      </c>
    </row>
    <row r="362" ht="14.25" customHeight="1">
      <c r="A362" s="1464" t="s">
        <v>2018</v>
      </c>
      <c r="B362" s="561"/>
      <c r="C362" s="561"/>
      <c r="D362" s="561"/>
      <c r="E362" s="561"/>
      <c r="F362" s="561"/>
      <c r="G362" s="124"/>
    </row>
    <row r="363" ht="14.25" customHeight="1">
      <c r="A363" s="1251" t="s">
        <v>2019</v>
      </c>
      <c r="B363" s="1214">
        <v>1.5</v>
      </c>
      <c r="C363" s="1214">
        <v>2.8</v>
      </c>
      <c r="D363" s="1214" t="str">
        <f t="shared" ref="D363:D370" si="13">B363*C363</f>
        <v>4.20</v>
      </c>
      <c r="E363" s="1214"/>
      <c r="F363" s="1214"/>
      <c r="G363" s="1467" t="str">
        <f t="shared" ref="G363:G370" si="14">D363-F363</f>
        <v>4.20</v>
      </c>
    </row>
    <row r="364" ht="14.25" customHeight="1">
      <c r="A364" s="1251" t="s">
        <v>2020</v>
      </c>
      <c r="B364" s="1535">
        <v>1.95</v>
      </c>
      <c r="C364" s="1214">
        <v>2.8</v>
      </c>
      <c r="D364" s="1214" t="str">
        <f t="shared" si="13"/>
        <v>5.46</v>
      </c>
      <c r="E364" s="1466" t="s">
        <v>2021</v>
      </c>
      <c r="F364" s="1214" t="str">
        <f>(0.8*2.1)</f>
        <v>1.68</v>
      </c>
      <c r="G364" s="1467" t="str">
        <f t="shared" si="14"/>
        <v>3.78</v>
      </c>
    </row>
    <row r="365" ht="14.25" customHeight="1">
      <c r="A365" s="1251" t="s">
        <v>2022</v>
      </c>
      <c r="B365" s="1214" t="str">
        <f t="shared" ref="B365:B366" si="15">1.05+2.85+3.85+1.85+1.08+2</f>
        <v>12.68</v>
      </c>
      <c r="C365" s="1214">
        <v>0.7</v>
      </c>
      <c r="D365" s="1214" t="str">
        <f t="shared" si="13"/>
        <v>8.88</v>
      </c>
      <c r="E365" s="1214"/>
      <c r="F365" s="1214"/>
      <c r="G365" s="1467" t="str">
        <f t="shared" si="14"/>
        <v>8.88</v>
      </c>
    </row>
    <row r="366" ht="14.25" customHeight="1">
      <c r="A366" s="1251" t="s">
        <v>2023</v>
      </c>
      <c r="B366" s="1214" t="str">
        <f t="shared" si="15"/>
        <v>12.68</v>
      </c>
      <c r="C366" s="1214">
        <v>0.7</v>
      </c>
      <c r="D366" s="1214" t="str">
        <f t="shared" si="13"/>
        <v>8.88</v>
      </c>
      <c r="E366" s="1214"/>
      <c r="F366" s="1214"/>
      <c r="G366" s="1467" t="str">
        <f t="shared" si="14"/>
        <v>8.88</v>
      </c>
    </row>
    <row r="367" ht="14.25" customHeight="1">
      <c r="A367" s="1465" t="s">
        <v>2024</v>
      </c>
      <c r="B367" s="1214" t="str">
        <f t="shared" ref="B367:B368" si="16">1.85+1.65+1.85+1.65</f>
        <v>7.00</v>
      </c>
      <c r="C367" s="1214">
        <v>0.7</v>
      </c>
      <c r="D367" s="1214" t="str">
        <f t="shared" si="13"/>
        <v>4.90</v>
      </c>
      <c r="E367" s="1466" t="s">
        <v>2025</v>
      </c>
      <c r="F367" s="1214" t="str">
        <f t="shared" ref="F367:F368" si="17">0.4*0.6</f>
        <v>0.24</v>
      </c>
      <c r="G367" s="1467" t="str">
        <f t="shared" si="14"/>
        <v>4.66</v>
      </c>
    </row>
    <row r="368" ht="14.25" customHeight="1">
      <c r="A368" s="1465" t="s">
        <v>2026</v>
      </c>
      <c r="B368" s="1214" t="str">
        <f t="shared" si="16"/>
        <v>7.00</v>
      </c>
      <c r="C368" s="1214">
        <v>0.7</v>
      </c>
      <c r="D368" s="1214" t="str">
        <f t="shared" si="13"/>
        <v>4.90</v>
      </c>
      <c r="E368" s="1466" t="s">
        <v>2025</v>
      </c>
      <c r="F368" s="1214" t="str">
        <f t="shared" si="17"/>
        <v>0.24</v>
      </c>
      <c r="G368" s="1467" t="str">
        <f t="shared" si="14"/>
        <v>4.66</v>
      </c>
    </row>
    <row r="369" ht="14.25" customHeight="1">
      <c r="A369" s="1251" t="s">
        <v>2027</v>
      </c>
      <c r="B369" s="1214" t="str">
        <f>1.35+1.35+2.35+2.35</f>
        <v>7.40</v>
      </c>
      <c r="C369" s="1214">
        <v>0.7</v>
      </c>
      <c r="D369" s="1214" t="str">
        <f t="shared" si="13"/>
        <v>5.18</v>
      </c>
      <c r="E369" s="1214"/>
      <c r="F369" s="1214"/>
      <c r="G369" s="1467" t="str">
        <f t="shared" si="14"/>
        <v>5.18</v>
      </c>
    </row>
    <row r="370" ht="14.25" customHeight="1">
      <c r="A370" s="1251" t="s">
        <v>2028</v>
      </c>
      <c r="B370" s="1214" t="str">
        <f>3.85+3.85+2+2</f>
        <v>11.70</v>
      </c>
      <c r="C370" s="1214">
        <v>0.7</v>
      </c>
      <c r="D370" s="1214" t="str">
        <f t="shared" si="13"/>
        <v>8.19</v>
      </c>
      <c r="E370" s="1214"/>
      <c r="F370" s="1214"/>
      <c r="G370" s="1467" t="str">
        <f t="shared" si="14"/>
        <v>8.19</v>
      </c>
    </row>
    <row r="371" ht="14.25" customHeight="1">
      <c r="A371" s="1536"/>
      <c r="B371" s="561"/>
      <c r="C371" s="561"/>
      <c r="D371" s="561"/>
      <c r="E371" s="561"/>
      <c r="F371" s="561"/>
      <c r="G371" s="124"/>
    </row>
    <row r="372" ht="14.25" customHeight="1">
      <c r="A372" s="1464" t="s">
        <v>2029</v>
      </c>
      <c r="B372" s="561"/>
      <c r="C372" s="561"/>
      <c r="D372" s="561"/>
      <c r="E372" s="561"/>
      <c r="F372" s="561"/>
      <c r="G372" s="124"/>
    </row>
    <row r="373" ht="14.25" customHeight="1">
      <c r="A373" s="1251" t="s">
        <v>2030</v>
      </c>
      <c r="B373" s="1214">
        <v>3.5</v>
      </c>
      <c r="C373" s="1214">
        <v>2.8</v>
      </c>
      <c r="D373" s="1214" t="str">
        <f t="shared" ref="D373:D384" si="18">B373*C373</f>
        <v>9.80</v>
      </c>
      <c r="E373" s="1466" t="s">
        <v>2021</v>
      </c>
      <c r="F373" s="1214" t="str">
        <f>(0.8*2.1)</f>
        <v>1.68</v>
      </c>
      <c r="G373" s="1467" t="str">
        <f t="shared" ref="G373:G384" si="19">D373-F373</f>
        <v>8.12</v>
      </c>
    </row>
    <row r="374" ht="14.25" customHeight="1">
      <c r="A374" s="1251" t="s">
        <v>2031</v>
      </c>
      <c r="B374" s="1214" t="str">
        <f>3.15+3.5</f>
        <v>6.65</v>
      </c>
      <c r="C374" s="1214">
        <v>2.8</v>
      </c>
      <c r="D374" s="1214" t="str">
        <f t="shared" si="18"/>
        <v>18.62</v>
      </c>
      <c r="E374" s="1466" t="s">
        <v>2032</v>
      </c>
      <c r="F374" s="1214" t="str">
        <f>(0.8*2.1)+(1.1*0.6*2)</f>
        <v>3.00</v>
      </c>
      <c r="G374" s="1467" t="str">
        <f t="shared" si="19"/>
        <v>15.62</v>
      </c>
    </row>
    <row r="375" ht="14.25" customHeight="1">
      <c r="A375" s="1251" t="s">
        <v>2033</v>
      </c>
      <c r="B375" s="1214" t="str">
        <f>3.35+3.15</f>
        <v>6.50</v>
      </c>
      <c r="C375" s="1214">
        <v>2.8</v>
      </c>
      <c r="D375" s="1214" t="str">
        <f t="shared" si="18"/>
        <v>18.20</v>
      </c>
      <c r="E375" s="1214"/>
      <c r="F375" s="1214"/>
      <c r="G375" s="1467" t="str">
        <f t="shared" si="19"/>
        <v>18.20</v>
      </c>
    </row>
    <row r="376" ht="14.25" customHeight="1">
      <c r="A376" s="1251" t="s">
        <v>2034</v>
      </c>
      <c r="B376" s="1214">
        <v>8.0</v>
      </c>
      <c r="C376" s="1214">
        <v>2.8</v>
      </c>
      <c r="D376" s="1214" t="str">
        <f t="shared" si="18"/>
        <v>22.40</v>
      </c>
      <c r="E376" s="1466" t="s">
        <v>2035</v>
      </c>
      <c r="F376" s="1214" t="str">
        <f>(2.2*1.1)+(0.8*2.1)</f>
        <v>4.10</v>
      </c>
      <c r="G376" s="1467" t="str">
        <f t="shared" si="19"/>
        <v>18.30</v>
      </c>
    </row>
    <row r="377" ht="14.25" customHeight="1">
      <c r="A377" s="1251" t="s">
        <v>2034</v>
      </c>
      <c r="B377" s="1214">
        <v>8.0</v>
      </c>
      <c r="C377" s="1214">
        <v>2.8</v>
      </c>
      <c r="D377" s="1214" t="str">
        <f t="shared" si="18"/>
        <v>22.40</v>
      </c>
      <c r="E377" s="1214"/>
      <c r="F377" s="1214"/>
      <c r="G377" s="1467" t="str">
        <f t="shared" si="19"/>
        <v>22.40</v>
      </c>
    </row>
    <row r="378" ht="14.25" customHeight="1">
      <c r="A378" s="1251" t="s">
        <v>2036</v>
      </c>
      <c r="B378" s="1214">
        <v>3.5</v>
      </c>
      <c r="C378" s="1214">
        <v>2.8</v>
      </c>
      <c r="D378" s="1214" t="str">
        <f t="shared" si="18"/>
        <v>9.80</v>
      </c>
      <c r="E378" s="1466" t="s">
        <v>2037</v>
      </c>
      <c r="F378" s="1214" t="str">
        <f>2.2*1.1</f>
        <v>2.42</v>
      </c>
      <c r="G378" s="1467" t="str">
        <f t="shared" si="19"/>
        <v>7.38</v>
      </c>
    </row>
    <row r="379" ht="14.25" customHeight="1">
      <c r="A379" s="1251" t="s">
        <v>2038</v>
      </c>
      <c r="B379" s="1214" t="str">
        <f>2.55+2</f>
        <v>4.55</v>
      </c>
      <c r="C379" s="1214">
        <v>2.8</v>
      </c>
      <c r="D379" s="1214" t="str">
        <f t="shared" si="18"/>
        <v>12.74</v>
      </c>
      <c r="E379" s="1214"/>
      <c r="F379" s="1214"/>
      <c r="G379" s="1467" t="str">
        <f t="shared" si="19"/>
        <v>12.74</v>
      </c>
    </row>
    <row r="380" ht="14.25" customHeight="1">
      <c r="A380" s="1537" t="s">
        <v>2039</v>
      </c>
      <c r="B380" s="1538">
        <v>4.0</v>
      </c>
      <c r="C380" s="1296">
        <v>2.8</v>
      </c>
      <c r="D380" s="1296" t="str">
        <f t="shared" si="18"/>
        <v>11.20</v>
      </c>
      <c r="E380" s="1295" t="s">
        <v>2040</v>
      </c>
      <c r="F380" s="1296" t="str">
        <f>(1.3*2.1)+(2.3*1.1)</f>
        <v>5.26</v>
      </c>
      <c r="G380" s="1539" t="str">
        <f t="shared" si="19"/>
        <v>5.94</v>
      </c>
    </row>
    <row r="381" ht="14.25" customHeight="1">
      <c r="A381" s="1537" t="s">
        <v>2041</v>
      </c>
      <c r="B381" s="1538" t="str">
        <f>2.15+1.35+1.5</f>
        <v>5.00</v>
      </c>
      <c r="C381" s="1296">
        <v>5.23</v>
      </c>
      <c r="D381" s="1296" t="str">
        <f t="shared" si="18"/>
        <v>26.15</v>
      </c>
      <c r="E381" s="1295" t="s">
        <v>2042</v>
      </c>
      <c r="F381" s="1296" t="str">
        <f>1.2*1.1+(0.8*2.1)+(0.9*2.1)</f>
        <v>4.89</v>
      </c>
      <c r="G381" s="1539" t="str">
        <f t="shared" si="19"/>
        <v>21.26</v>
      </c>
    </row>
    <row r="382" ht="14.25" customHeight="1">
      <c r="A382" s="1537" t="s">
        <v>2043</v>
      </c>
      <c r="B382" s="1538">
        <v>1.5</v>
      </c>
      <c r="C382" s="1296">
        <v>5.23</v>
      </c>
      <c r="D382" s="1296" t="str">
        <f t="shared" si="18"/>
        <v>7.85</v>
      </c>
      <c r="E382" s="1296"/>
      <c r="F382" s="1296"/>
      <c r="G382" s="1539" t="str">
        <f t="shared" si="19"/>
        <v>7.85</v>
      </c>
    </row>
    <row r="383" ht="14.25" customHeight="1">
      <c r="A383" s="1537" t="s">
        <v>2044</v>
      </c>
      <c r="B383" s="1538" t="str">
        <f>4.6+9.6</f>
        <v>14.20</v>
      </c>
      <c r="C383" s="1296">
        <v>4.73</v>
      </c>
      <c r="D383" s="1296" t="str">
        <f t="shared" si="18"/>
        <v>67.17</v>
      </c>
      <c r="E383" s="1295" t="s">
        <v>2045</v>
      </c>
      <c r="F383" s="1296" t="str">
        <f>2.3*1.1*2+(0.8*2.1)+(1*2.1)</f>
        <v>8.84</v>
      </c>
      <c r="G383" s="1539" t="str">
        <f t="shared" si="19"/>
        <v>58.33</v>
      </c>
    </row>
    <row r="384" ht="14.25" customHeight="1">
      <c r="A384" s="1537" t="s">
        <v>2046</v>
      </c>
      <c r="B384" s="1538">
        <v>4.6</v>
      </c>
      <c r="C384" s="1296">
        <v>1.93</v>
      </c>
      <c r="D384" s="1296" t="str">
        <f t="shared" si="18"/>
        <v>8.88</v>
      </c>
      <c r="E384" s="1296"/>
      <c r="F384" s="1296"/>
      <c r="G384" s="1539" t="str">
        <f t="shared" si="19"/>
        <v>8.88</v>
      </c>
    </row>
    <row r="385" ht="14.25" customHeight="1">
      <c r="A385" s="1536"/>
      <c r="B385" s="561"/>
      <c r="C385" s="561"/>
      <c r="D385" s="561"/>
      <c r="E385" s="561"/>
      <c r="F385" s="561"/>
      <c r="G385" s="124"/>
    </row>
    <row r="386" ht="14.25" customHeight="1">
      <c r="A386" s="1464" t="s">
        <v>2047</v>
      </c>
      <c r="B386" s="561"/>
      <c r="C386" s="561"/>
      <c r="D386" s="561"/>
      <c r="E386" s="561"/>
      <c r="F386" s="561"/>
      <c r="G386" s="124"/>
    </row>
    <row r="387" ht="14.25" customHeight="1">
      <c r="A387" s="1251" t="s">
        <v>2048</v>
      </c>
      <c r="B387" s="1469" t="str">
        <f t="shared" ref="B387:B388" si="20">7.5+4.65</f>
        <v>12.15</v>
      </c>
      <c r="C387" s="1214">
        <v>2.8</v>
      </c>
      <c r="D387" s="1214" t="str">
        <f t="shared" ref="D387:D395" si="21">B387*C387</f>
        <v>34.02</v>
      </c>
      <c r="E387" s="1466" t="s">
        <v>2049</v>
      </c>
      <c r="F387" s="1214" t="str">
        <f>(1.6*2.1)+(3*1.1*0.6)</f>
        <v>5.34</v>
      </c>
      <c r="G387" s="1467" t="str">
        <f t="shared" ref="G387:G395" si="22">D387-F387</f>
        <v>28.68</v>
      </c>
    </row>
    <row r="388" ht="14.25" customHeight="1">
      <c r="A388" s="1251" t="s">
        <v>2048</v>
      </c>
      <c r="B388" s="1469" t="str">
        <f t="shared" si="20"/>
        <v>12.15</v>
      </c>
      <c r="C388" s="1214">
        <v>2.8</v>
      </c>
      <c r="D388" s="1214" t="str">
        <f t="shared" si="21"/>
        <v>34.02</v>
      </c>
      <c r="E388" s="1214"/>
      <c r="F388" s="1214"/>
      <c r="G388" s="1467" t="str">
        <f t="shared" si="22"/>
        <v>34.02</v>
      </c>
    </row>
    <row r="389" ht="14.25" customHeight="1">
      <c r="A389" s="1251" t="s">
        <v>2050</v>
      </c>
      <c r="B389" s="1535" t="str">
        <f>8.85+10.35</f>
        <v>19.20</v>
      </c>
      <c r="C389" s="1214">
        <v>2.8</v>
      </c>
      <c r="D389" s="1214" t="str">
        <f t="shared" si="21"/>
        <v>53.76</v>
      </c>
      <c r="E389" s="1466" t="s">
        <v>2051</v>
      </c>
      <c r="F389" s="1214" t="str">
        <f>2.3*1.1*5</f>
        <v>12.65</v>
      </c>
      <c r="G389" s="1467" t="str">
        <f t="shared" si="22"/>
        <v>41.11</v>
      </c>
    </row>
    <row r="390" ht="14.25" customHeight="1">
      <c r="A390" s="1251" t="s">
        <v>2052</v>
      </c>
      <c r="B390" s="1535" t="str">
        <f>4.65+4</f>
        <v>8.65</v>
      </c>
      <c r="C390" s="1214">
        <v>2.8</v>
      </c>
      <c r="D390" s="1214" t="str">
        <f t="shared" si="21"/>
        <v>24.22</v>
      </c>
      <c r="E390" s="1214"/>
      <c r="F390" s="1214"/>
      <c r="G390" s="1467" t="str">
        <f t="shared" si="22"/>
        <v>24.22</v>
      </c>
    </row>
    <row r="391" ht="14.25" customHeight="1">
      <c r="A391" s="1251" t="s">
        <v>2053</v>
      </c>
      <c r="B391" s="1535">
        <v>5.5</v>
      </c>
      <c r="C391" s="1214">
        <v>2.8</v>
      </c>
      <c r="D391" s="1214" t="str">
        <f t="shared" si="21"/>
        <v>15.40</v>
      </c>
      <c r="E391" s="1466" t="s">
        <v>2054</v>
      </c>
      <c r="F391" s="1214" t="str">
        <f>2.3*1.1</f>
        <v>2.53</v>
      </c>
      <c r="G391" s="1467" t="str">
        <f t="shared" si="22"/>
        <v>12.87</v>
      </c>
    </row>
    <row r="392" ht="14.25" customHeight="1">
      <c r="A392" s="1251" t="s">
        <v>2055</v>
      </c>
      <c r="B392" s="1535">
        <v>4.5</v>
      </c>
      <c r="C392" s="1214">
        <v>2.8</v>
      </c>
      <c r="D392" s="1214" t="str">
        <f t="shared" si="21"/>
        <v>12.60</v>
      </c>
      <c r="E392" s="1214"/>
      <c r="F392" s="1214"/>
      <c r="G392" s="1467" t="str">
        <f t="shared" si="22"/>
        <v>12.60</v>
      </c>
    </row>
    <row r="393" ht="14.25" customHeight="1">
      <c r="A393" s="1537" t="s">
        <v>2056</v>
      </c>
      <c r="B393" s="1538">
        <v>5.0</v>
      </c>
      <c r="C393" s="1296">
        <v>2.8</v>
      </c>
      <c r="D393" s="1296" t="str">
        <f t="shared" si="21"/>
        <v>14.00</v>
      </c>
      <c r="E393" s="1296"/>
      <c r="F393" s="1296"/>
      <c r="G393" s="1539" t="str">
        <f t="shared" si="22"/>
        <v>14.00</v>
      </c>
    </row>
    <row r="394" ht="14.25" customHeight="1">
      <c r="A394" s="1537" t="s">
        <v>2057</v>
      </c>
      <c r="B394" s="1538">
        <v>9.0</v>
      </c>
      <c r="C394" s="1296">
        <v>2.8</v>
      </c>
      <c r="D394" s="1296" t="str">
        <f t="shared" si="21"/>
        <v>25.20</v>
      </c>
      <c r="E394" s="1296"/>
      <c r="F394" s="1296"/>
      <c r="G394" s="1539" t="str">
        <f t="shared" si="22"/>
        <v>25.20</v>
      </c>
    </row>
    <row r="395" ht="14.25" customHeight="1">
      <c r="A395" s="1537" t="s">
        <v>2058</v>
      </c>
      <c r="B395" s="1538">
        <v>6.15</v>
      </c>
      <c r="C395" s="1296">
        <v>5.23</v>
      </c>
      <c r="D395" s="1296" t="str">
        <f t="shared" si="21"/>
        <v>32.16</v>
      </c>
      <c r="E395" s="1295" t="s">
        <v>2059</v>
      </c>
      <c r="F395" s="1296" t="str">
        <f>(0.8*2.1*4)+(0.4*0.6*2)</f>
        <v>7.20</v>
      </c>
      <c r="G395" s="1539" t="str">
        <f t="shared" si="22"/>
        <v>24.96</v>
      </c>
    </row>
    <row r="396" ht="14.25" customHeight="1">
      <c r="A396" s="1536"/>
      <c r="B396" s="561"/>
      <c r="C396" s="561"/>
      <c r="D396" s="561"/>
      <c r="E396" s="561"/>
      <c r="F396" s="561"/>
      <c r="G396" s="124"/>
    </row>
    <row r="397" ht="14.25" customHeight="1">
      <c r="A397" s="1470" t="s">
        <v>2060</v>
      </c>
      <c r="B397" s="561"/>
      <c r="C397" s="561"/>
      <c r="D397" s="561"/>
      <c r="E397" s="561"/>
      <c r="F397" s="561"/>
      <c r="G397" s="124"/>
    </row>
    <row r="398" ht="14.25" customHeight="1">
      <c r="A398" s="1540"/>
      <c r="B398" s="1210"/>
      <c r="C398" s="1472" t="s">
        <v>2018</v>
      </c>
      <c r="D398" s="561"/>
      <c r="E398" s="561"/>
      <c r="F398" s="41"/>
      <c r="G398" s="1467"/>
    </row>
    <row r="399" ht="14.25" customHeight="1">
      <c r="A399" s="1421"/>
      <c r="B399" s="1418"/>
      <c r="C399" s="1473" t="s">
        <v>1467</v>
      </c>
      <c r="D399" s="561"/>
      <c r="E399" s="561"/>
      <c r="F399" s="41"/>
      <c r="G399" s="1541" t="str">
        <f>ROUNDUP(G363+G364+G365+G366+G367+G368+G369+G370,2)</f>
        <v>48.43</v>
      </c>
    </row>
    <row r="400" ht="14.25" customHeight="1">
      <c r="A400" s="1421"/>
      <c r="B400" s="1418"/>
      <c r="C400" s="1472" t="s">
        <v>2029</v>
      </c>
      <c r="D400" s="561"/>
      <c r="E400" s="561"/>
      <c r="F400" s="41"/>
      <c r="G400" s="1542"/>
    </row>
    <row r="401" ht="14.25" customHeight="1">
      <c r="A401" s="1421"/>
      <c r="B401" s="1418"/>
      <c r="C401" s="1473" t="s">
        <v>1467</v>
      </c>
      <c r="D401" s="561"/>
      <c r="E401" s="561"/>
      <c r="F401" s="41"/>
      <c r="G401" s="1541" t="str">
        <f>ROUNDUP(G373+G374+G375+G376+G377+G378+G379+G380+G381+G382+G383+G384,2)</f>
        <v>205.01</v>
      </c>
    </row>
    <row r="402" ht="14.25" customHeight="1">
      <c r="A402" s="1421"/>
      <c r="B402" s="1418"/>
      <c r="C402" s="1472" t="s">
        <v>2047</v>
      </c>
      <c r="D402" s="561"/>
      <c r="E402" s="561"/>
      <c r="F402" s="41"/>
      <c r="G402" s="1542"/>
    </row>
    <row r="403" ht="14.25" customHeight="1">
      <c r="A403" s="1213"/>
      <c r="B403" s="39"/>
      <c r="C403" s="1473" t="s">
        <v>1467</v>
      </c>
      <c r="D403" s="561"/>
      <c r="E403" s="561"/>
      <c r="F403" s="41"/>
      <c r="G403" s="1541" t="str">
        <f>ROUNDUP(G387+G388+G389+G391+G392+G393+G394+G395,2)</f>
        <v>193.45</v>
      </c>
    </row>
    <row r="404" ht="14.25" customHeight="1">
      <c r="A404" s="1543" t="s">
        <v>1623</v>
      </c>
      <c r="B404" s="127"/>
      <c r="C404" s="127"/>
      <c r="D404" s="127"/>
      <c r="E404" s="127"/>
      <c r="F404" s="712"/>
      <c r="G404" s="1544" t="str">
        <f>ROUNDUP(G399+G401+G403,2)</f>
        <v>446.89</v>
      </c>
    </row>
    <row r="405" ht="14.25" customHeight="1">
      <c r="A405" s="1308"/>
      <c r="B405" s="28"/>
      <c r="C405" s="28"/>
      <c r="D405" s="28"/>
      <c r="E405" s="28"/>
      <c r="F405" s="28"/>
      <c r="G405" s="29"/>
    </row>
    <row r="406" ht="14.25" customHeight="1">
      <c r="A406" s="1545" t="s">
        <v>314</v>
      </c>
      <c r="B406" s="1200" t="s">
        <v>2061</v>
      </c>
      <c r="C406" s="28"/>
      <c r="D406" s="28"/>
      <c r="E406" s="28"/>
      <c r="F406" s="28"/>
      <c r="G406" s="29"/>
    </row>
    <row r="407" ht="14.25" customHeight="1">
      <c r="A407" s="1546" t="s">
        <v>1577</v>
      </c>
      <c r="B407" s="1249"/>
      <c r="C407" s="1249"/>
      <c r="D407" s="1249"/>
      <c r="E407" s="1249"/>
      <c r="F407" s="1249"/>
      <c r="G407" s="1250"/>
    </row>
    <row r="408" ht="14.25" customHeight="1">
      <c r="A408" s="1547" t="s">
        <v>2017</v>
      </c>
      <c r="B408" s="118"/>
      <c r="C408" s="118"/>
      <c r="D408" s="118"/>
      <c r="E408" s="118"/>
      <c r="F408" s="118"/>
      <c r="G408" s="1319"/>
    </row>
    <row r="409" ht="14.25" customHeight="1">
      <c r="A409" s="1426" t="s">
        <v>1585</v>
      </c>
      <c r="B409" s="1427" t="s">
        <v>1585</v>
      </c>
      <c r="C409" s="1427" t="s">
        <v>1899</v>
      </c>
      <c r="D409" s="1427" t="s">
        <v>1620</v>
      </c>
      <c r="E409" s="1427" t="s">
        <v>1900</v>
      </c>
      <c r="F409" s="1427" t="s">
        <v>1901</v>
      </c>
      <c r="G409" s="1463" t="s">
        <v>1902</v>
      </c>
    </row>
    <row r="410" ht="14.25" customHeight="1">
      <c r="A410" s="1464" t="s">
        <v>2018</v>
      </c>
      <c r="B410" s="561"/>
      <c r="C410" s="561"/>
      <c r="D410" s="561"/>
      <c r="E410" s="561"/>
      <c r="F410" s="561"/>
      <c r="G410" s="124"/>
    </row>
    <row r="411" ht="14.25" customHeight="1">
      <c r="A411" s="1548" t="s">
        <v>2019</v>
      </c>
      <c r="B411" s="1549">
        <v>1.5</v>
      </c>
      <c r="C411" s="1549">
        <v>2.8</v>
      </c>
      <c r="D411" s="1549" t="str">
        <f t="shared" ref="D411:D418" si="23">B411*C411</f>
        <v>4.20</v>
      </c>
      <c r="E411" s="1549"/>
      <c r="F411" s="1549"/>
      <c r="G411" s="1550" t="str">
        <f t="shared" ref="G411:G418" si="24">D411-F411</f>
        <v>4.20</v>
      </c>
    </row>
    <row r="412" ht="14.25" customHeight="1">
      <c r="A412" s="1548" t="s">
        <v>2020</v>
      </c>
      <c r="B412" s="1551">
        <v>1.95</v>
      </c>
      <c r="C412" s="1549">
        <v>2.8</v>
      </c>
      <c r="D412" s="1549" t="str">
        <f t="shared" si="23"/>
        <v>5.46</v>
      </c>
      <c r="E412" s="1552" t="s">
        <v>2021</v>
      </c>
      <c r="F412" s="1549" t="str">
        <f>(0.8*2.1)</f>
        <v>1.68</v>
      </c>
      <c r="G412" s="1550" t="str">
        <f t="shared" si="24"/>
        <v>3.78</v>
      </c>
    </row>
    <row r="413" ht="14.25" customHeight="1">
      <c r="A413" s="1548" t="s">
        <v>2022</v>
      </c>
      <c r="B413" s="1549" t="str">
        <f t="shared" ref="B413:B414" si="25">1.05+2.85+3.85+1.85+1.08+2</f>
        <v>12.68</v>
      </c>
      <c r="C413" s="1549">
        <v>0.7</v>
      </c>
      <c r="D413" s="1549" t="str">
        <f t="shared" si="23"/>
        <v>8.88</v>
      </c>
      <c r="E413" s="1549"/>
      <c r="F413" s="1549"/>
      <c r="G413" s="1550" t="str">
        <f t="shared" si="24"/>
        <v>8.88</v>
      </c>
    </row>
    <row r="414" ht="14.25" customHeight="1">
      <c r="A414" s="1548" t="s">
        <v>2023</v>
      </c>
      <c r="B414" s="1549" t="str">
        <f t="shared" si="25"/>
        <v>12.68</v>
      </c>
      <c r="C414" s="1549">
        <v>0.7</v>
      </c>
      <c r="D414" s="1549" t="str">
        <f t="shared" si="23"/>
        <v>8.88</v>
      </c>
      <c r="E414" s="1549"/>
      <c r="F414" s="1549"/>
      <c r="G414" s="1550" t="str">
        <f t="shared" si="24"/>
        <v>8.88</v>
      </c>
    </row>
    <row r="415" ht="14.25" customHeight="1">
      <c r="A415" s="1548" t="s">
        <v>2062</v>
      </c>
      <c r="B415" s="1549" t="str">
        <f t="shared" ref="B415:B416" si="26">1.85+1.65+1.85+1.65</f>
        <v>7.00</v>
      </c>
      <c r="C415" s="1549">
        <v>0.7</v>
      </c>
      <c r="D415" s="1549" t="str">
        <f t="shared" si="23"/>
        <v>4.90</v>
      </c>
      <c r="E415" s="1552" t="s">
        <v>2025</v>
      </c>
      <c r="F415" s="1549" t="str">
        <f t="shared" ref="F415:F416" si="27">0.4*0.6</f>
        <v>0.24</v>
      </c>
      <c r="G415" s="1550" t="str">
        <f t="shared" si="24"/>
        <v>4.66</v>
      </c>
    </row>
    <row r="416" ht="14.25" customHeight="1">
      <c r="A416" s="1548" t="s">
        <v>2063</v>
      </c>
      <c r="B416" s="1549" t="str">
        <f t="shared" si="26"/>
        <v>7.00</v>
      </c>
      <c r="C416" s="1549">
        <v>0.7</v>
      </c>
      <c r="D416" s="1549" t="str">
        <f t="shared" si="23"/>
        <v>4.90</v>
      </c>
      <c r="E416" s="1552" t="s">
        <v>2025</v>
      </c>
      <c r="F416" s="1549" t="str">
        <f t="shared" si="27"/>
        <v>0.24</v>
      </c>
      <c r="G416" s="1550" t="str">
        <f t="shared" si="24"/>
        <v>4.66</v>
      </c>
    </row>
    <row r="417" ht="14.25" customHeight="1">
      <c r="A417" s="1548" t="s">
        <v>2027</v>
      </c>
      <c r="B417" s="1549" t="str">
        <f>1.35+1.35+2.35+2.35</f>
        <v>7.40</v>
      </c>
      <c r="C417" s="1549">
        <v>0.7</v>
      </c>
      <c r="D417" s="1549" t="str">
        <f t="shared" si="23"/>
        <v>5.18</v>
      </c>
      <c r="E417" s="1549"/>
      <c r="F417" s="1549"/>
      <c r="G417" s="1550" t="str">
        <f t="shared" si="24"/>
        <v>5.18</v>
      </c>
    </row>
    <row r="418" ht="14.25" customHeight="1">
      <c r="A418" s="1548" t="s">
        <v>2028</v>
      </c>
      <c r="B418" s="1549" t="str">
        <f>3.85+3.85+2+2</f>
        <v>11.70</v>
      </c>
      <c r="C418" s="1549">
        <v>0.7</v>
      </c>
      <c r="D418" s="1549" t="str">
        <f t="shared" si="23"/>
        <v>8.19</v>
      </c>
      <c r="E418" s="1549"/>
      <c r="F418" s="1549"/>
      <c r="G418" s="1550" t="str">
        <f t="shared" si="24"/>
        <v>8.19</v>
      </c>
    </row>
    <row r="419" ht="14.25" customHeight="1">
      <c r="A419" s="1553"/>
      <c r="B419" s="561"/>
      <c r="C419" s="561"/>
      <c r="D419" s="561"/>
      <c r="E419" s="561"/>
      <c r="F419" s="561"/>
      <c r="G419" s="124"/>
    </row>
    <row r="420" ht="14.25" customHeight="1">
      <c r="A420" s="1464" t="s">
        <v>2029</v>
      </c>
      <c r="B420" s="561"/>
      <c r="C420" s="561"/>
      <c r="D420" s="561"/>
      <c r="E420" s="561"/>
      <c r="F420" s="561"/>
      <c r="G420" s="124"/>
    </row>
    <row r="421" ht="14.25" customHeight="1">
      <c r="A421" s="1548" t="s">
        <v>2030</v>
      </c>
      <c r="B421" s="1549">
        <v>3.5</v>
      </c>
      <c r="C421" s="1549">
        <v>2.8</v>
      </c>
      <c r="D421" s="1549" t="str">
        <f t="shared" ref="D421:D432" si="28">B421*C421</f>
        <v>9.80</v>
      </c>
      <c r="E421" s="1552" t="s">
        <v>2021</v>
      </c>
      <c r="F421" s="1549" t="str">
        <f>(0.8*2.1)</f>
        <v>1.68</v>
      </c>
      <c r="G421" s="1550" t="str">
        <f t="shared" ref="G421:G432" si="29">D421-F421</f>
        <v>8.12</v>
      </c>
    </row>
    <row r="422" ht="14.25" customHeight="1">
      <c r="A422" s="1548" t="s">
        <v>2031</v>
      </c>
      <c r="B422" s="1549" t="str">
        <f>3.15+3.5</f>
        <v>6.65</v>
      </c>
      <c r="C422" s="1549">
        <v>2.8</v>
      </c>
      <c r="D422" s="1549" t="str">
        <f t="shared" si="28"/>
        <v>18.62</v>
      </c>
      <c r="E422" s="1552" t="s">
        <v>2032</v>
      </c>
      <c r="F422" s="1549" t="str">
        <f>(0.8*2.1)+(1.1*0.6*2)</f>
        <v>3.00</v>
      </c>
      <c r="G422" s="1550" t="str">
        <f t="shared" si="29"/>
        <v>15.62</v>
      </c>
    </row>
    <row r="423" ht="14.25" customHeight="1">
      <c r="A423" s="1548" t="s">
        <v>2033</v>
      </c>
      <c r="B423" s="1549" t="str">
        <f>3.35+3.15</f>
        <v>6.50</v>
      </c>
      <c r="C423" s="1549">
        <v>2.8</v>
      </c>
      <c r="D423" s="1549" t="str">
        <f t="shared" si="28"/>
        <v>18.20</v>
      </c>
      <c r="E423" s="1549"/>
      <c r="F423" s="1549"/>
      <c r="G423" s="1550" t="str">
        <f t="shared" si="29"/>
        <v>18.20</v>
      </c>
    </row>
    <row r="424" ht="14.25" customHeight="1">
      <c r="A424" s="1548" t="s">
        <v>2034</v>
      </c>
      <c r="B424" s="1549">
        <v>8.0</v>
      </c>
      <c r="C424" s="1549">
        <v>2.8</v>
      </c>
      <c r="D424" s="1549" t="str">
        <f t="shared" si="28"/>
        <v>22.40</v>
      </c>
      <c r="E424" s="1552" t="s">
        <v>2035</v>
      </c>
      <c r="F424" s="1549" t="str">
        <f>(2.2*1.1)+(0.8*2.1)</f>
        <v>4.10</v>
      </c>
      <c r="G424" s="1550" t="str">
        <f t="shared" si="29"/>
        <v>18.30</v>
      </c>
    </row>
    <row r="425" ht="14.25" customHeight="1">
      <c r="A425" s="1548" t="s">
        <v>2034</v>
      </c>
      <c r="B425" s="1549">
        <v>8.0</v>
      </c>
      <c r="C425" s="1549">
        <v>2.8</v>
      </c>
      <c r="D425" s="1549" t="str">
        <f t="shared" si="28"/>
        <v>22.40</v>
      </c>
      <c r="E425" s="1549"/>
      <c r="F425" s="1549"/>
      <c r="G425" s="1550" t="str">
        <f t="shared" si="29"/>
        <v>22.40</v>
      </c>
    </row>
    <row r="426" ht="14.25" customHeight="1">
      <c r="A426" s="1548" t="s">
        <v>2036</v>
      </c>
      <c r="B426" s="1549">
        <v>3.5</v>
      </c>
      <c r="C426" s="1549">
        <v>2.8</v>
      </c>
      <c r="D426" s="1549" t="str">
        <f t="shared" si="28"/>
        <v>9.80</v>
      </c>
      <c r="E426" s="1552" t="s">
        <v>2037</v>
      </c>
      <c r="F426" s="1549" t="str">
        <f>2.2*1.1</f>
        <v>2.42</v>
      </c>
      <c r="G426" s="1550" t="str">
        <f t="shared" si="29"/>
        <v>7.38</v>
      </c>
    </row>
    <row r="427" ht="14.25" customHeight="1">
      <c r="A427" s="1548" t="s">
        <v>2038</v>
      </c>
      <c r="B427" s="1549" t="str">
        <f>2.55+2</f>
        <v>4.55</v>
      </c>
      <c r="C427" s="1549">
        <v>2.8</v>
      </c>
      <c r="D427" s="1549" t="str">
        <f t="shared" si="28"/>
        <v>12.74</v>
      </c>
      <c r="E427" s="1549"/>
      <c r="F427" s="1549"/>
      <c r="G427" s="1550" t="str">
        <f t="shared" si="29"/>
        <v>12.74</v>
      </c>
    </row>
    <row r="428" ht="14.25" customHeight="1">
      <c r="A428" s="1554" t="s">
        <v>2039</v>
      </c>
      <c r="B428" s="1555">
        <v>4.0</v>
      </c>
      <c r="C428" s="1556">
        <v>2.8</v>
      </c>
      <c r="D428" s="1556" t="str">
        <f t="shared" si="28"/>
        <v>11.20</v>
      </c>
      <c r="E428" s="1557" t="s">
        <v>2040</v>
      </c>
      <c r="F428" s="1556" t="str">
        <f>(1.3*2.1)+(2.3*1.1)</f>
        <v>5.26</v>
      </c>
      <c r="G428" s="1558" t="str">
        <f t="shared" si="29"/>
        <v>5.94</v>
      </c>
    </row>
    <row r="429" ht="14.25" customHeight="1">
      <c r="A429" s="1554" t="s">
        <v>2041</v>
      </c>
      <c r="B429" s="1555" t="str">
        <f>2.15+1.35+1.5</f>
        <v>5.00</v>
      </c>
      <c r="C429" s="1556">
        <v>5.23</v>
      </c>
      <c r="D429" s="1556" t="str">
        <f t="shared" si="28"/>
        <v>26.15</v>
      </c>
      <c r="E429" s="1557" t="s">
        <v>2042</v>
      </c>
      <c r="F429" s="1556" t="str">
        <f>1.2*1.1+(0.8*2.1)+(0.9*2.1)</f>
        <v>4.89</v>
      </c>
      <c r="G429" s="1558" t="str">
        <f t="shared" si="29"/>
        <v>21.26</v>
      </c>
    </row>
    <row r="430" ht="14.25" customHeight="1">
      <c r="A430" s="1554" t="s">
        <v>2043</v>
      </c>
      <c r="B430" s="1555">
        <v>1.5</v>
      </c>
      <c r="C430" s="1556">
        <v>5.23</v>
      </c>
      <c r="D430" s="1556" t="str">
        <f t="shared" si="28"/>
        <v>7.85</v>
      </c>
      <c r="E430" s="1556"/>
      <c r="F430" s="1556"/>
      <c r="G430" s="1558" t="str">
        <f t="shared" si="29"/>
        <v>7.85</v>
      </c>
    </row>
    <row r="431" ht="14.25" customHeight="1">
      <c r="A431" s="1554" t="s">
        <v>2044</v>
      </c>
      <c r="B431" s="1555" t="str">
        <f>4.6+9.6</f>
        <v>14.20</v>
      </c>
      <c r="C431" s="1556">
        <v>4.73</v>
      </c>
      <c r="D431" s="1556" t="str">
        <f t="shared" si="28"/>
        <v>67.17</v>
      </c>
      <c r="E431" s="1557" t="s">
        <v>2045</v>
      </c>
      <c r="F431" s="1556" t="str">
        <f>2.3*1.1*2+(0.8*2.1)+(1*2.1)</f>
        <v>8.84</v>
      </c>
      <c r="G431" s="1558" t="str">
        <f t="shared" si="29"/>
        <v>58.33</v>
      </c>
    </row>
    <row r="432" ht="14.25" customHeight="1">
      <c r="A432" s="1554" t="s">
        <v>2046</v>
      </c>
      <c r="B432" s="1555">
        <v>4.6</v>
      </c>
      <c r="C432" s="1556">
        <v>1.93</v>
      </c>
      <c r="D432" s="1556" t="str">
        <f t="shared" si="28"/>
        <v>8.88</v>
      </c>
      <c r="E432" s="1556"/>
      <c r="F432" s="1556"/>
      <c r="G432" s="1558" t="str">
        <f t="shared" si="29"/>
        <v>8.88</v>
      </c>
    </row>
    <row r="433" ht="14.25" customHeight="1">
      <c r="A433" s="1553"/>
      <c r="B433" s="561"/>
      <c r="C433" s="561"/>
      <c r="D433" s="561"/>
      <c r="E433" s="561"/>
      <c r="F433" s="561"/>
      <c r="G433" s="124"/>
    </row>
    <row r="434" ht="14.25" customHeight="1">
      <c r="A434" s="1464" t="s">
        <v>2047</v>
      </c>
      <c r="B434" s="561"/>
      <c r="C434" s="561"/>
      <c r="D434" s="561"/>
      <c r="E434" s="561"/>
      <c r="F434" s="561"/>
      <c r="G434" s="124"/>
    </row>
    <row r="435" ht="14.25" customHeight="1">
      <c r="A435" s="1548" t="s">
        <v>2048</v>
      </c>
      <c r="B435" s="1559" t="str">
        <f t="shared" ref="B435:B436" si="30">7.5+4.65</f>
        <v>12.15</v>
      </c>
      <c r="C435" s="1549">
        <v>2.8</v>
      </c>
      <c r="D435" s="1549" t="str">
        <f t="shared" ref="D435:D443" si="31">B435*C435</f>
        <v>34.02</v>
      </c>
      <c r="E435" s="1552" t="s">
        <v>2049</v>
      </c>
      <c r="F435" s="1549" t="str">
        <f>(1.6*2.1)+(3*1.1*0.6)</f>
        <v>5.34</v>
      </c>
      <c r="G435" s="1550" t="str">
        <f t="shared" ref="G435:G443" si="32">D435-F435</f>
        <v>28.68</v>
      </c>
    </row>
    <row r="436" ht="14.25" customHeight="1">
      <c r="A436" s="1548" t="s">
        <v>2048</v>
      </c>
      <c r="B436" s="1559" t="str">
        <f t="shared" si="30"/>
        <v>12.15</v>
      </c>
      <c r="C436" s="1549">
        <v>2.8</v>
      </c>
      <c r="D436" s="1549" t="str">
        <f t="shared" si="31"/>
        <v>34.02</v>
      </c>
      <c r="E436" s="1549"/>
      <c r="F436" s="1549"/>
      <c r="G436" s="1550" t="str">
        <f t="shared" si="32"/>
        <v>34.02</v>
      </c>
    </row>
    <row r="437" ht="14.25" customHeight="1">
      <c r="A437" s="1548" t="s">
        <v>2050</v>
      </c>
      <c r="B437" s="1551" t="str">
        <f>8.85+10.35</f>
        <v>19.20</v>
      </c>
      <c r="C437" s="1549">
        <v>2.8</v>
      </c>
      <c r="D437" s="1549" t="str">
        <f t="shared" si="31"/>
        <v>53.76</v>
      </c>
      <c r="E437" s="1552" t="s">
        <v>2051</v>
      </c>
      <c r="F437" s="1549" t="str">
        <f>2.3*1.1*5</f>
        <v>12.65</v>
      </c>
      <c r="G437" s="1550" t="str">
        <f t="shared" si="32"/>
        <v>41.11</v>
      </c>
    </row>
    <row r="438" ht="14.25" customHeight="1">
      <c r="A438" s="1548" t="s">
        <v>2052</v>
      </c>
      <c r="B438" s="1551" t="str">
        <f>4.65+4</f>
        <v>8.65</v>
      </c>
      <c r="C438" s="1549">
        <v>2.8</v>
      </c>
      <c r="D438" s="1549" t="str">
        <f t="shared" si="31"/>
        <v>24.22</v>
      </c>
      <c r="E438" s="1549"/>
      <c r="F438" s="1549"/>
      <c r="G438" s="1550" t="str">
        <f t="shared" si="32"/>
        <v>24.22</v>
      </c>
    </row>
    <row r="439" ht="14.25" customHeight="1">
      <c r="A439" s="1548" t="s">
        <v>2053</v>
      </c>
      <c r="B439" s="1551">
        <v>5.5</v>
      </c>
      <c r="C439" s="1549">
        <v>2.8</v>
      </c>
      <c r="D439" s="1549" t="str">
        <f t="shared" si="31"/>
        <v>15.40</v>
      </c>
      <c r="E439" s="1552" t="s">
        <v>2054</v>
      </c>
      <c r="F439" s="1549" t="str">
        <f>2.3*1.1</f>
        <v>2.53</v>
      </c>
      <c r="G439" s="1550" t="str">
        <f t="shared" si="32"/>
        <v>12.87</v>
      </c>
    </row>
    <row r="440" ht="14.25" customHeight="1">
      <c r="A440" s="1548" t="s">
        <v>2055</v>
      </c>
      <c r="B440" s="1551">
        <v>4.5</v>
      </c>
      <c r="C440" s="1549">
        <v>2.8</v>
      </c>
      <c r="D440" s="1549" t="str">
        <f t="shared" si="31"/>
        <v>12.60</v>
      </c>
      <c r="E440" s="1549"/>
      <c r="F440" s="1549"/>
      <c r="G440" s="1550" t="str">
        <f t="shared" si="32"/>
        <v>12.60</v>
      </c>
    </row>
    <row r="441" ht="14.25" customHeight="1">
      <c r="A441" s="1554" t="s">
        <v>2056</v>
      </c>
      <c r="B441" s="1555">
        <v>5.0</v>
      </c>
      <c r="C441" s="1556">
        <v>2.8</v>
      </c>
      <c r="D441" s="1556" t="str">
        <f t="shared" si="31"/>
        <v>14.00</v>
      </c>
      <c r="E441" s="1556"/>
      <c r="F441" s="1556"/>
      <c r="G441" s="1558" t="str">
        <f t="shared" si="32"/>
        <v>14.00</v>
      </c>
    </row>
    <row r="442" ht="14.25" customHeight="1">
      <c r="A442" s="1554" t="s">
        <v>2057</v>
      </c>
      <c r="B442" s="1555">
        <v>9.0</v>
      </c>
      <c r="C442" s="1556">
        <v>2.8</v>
      </c>
      <c r="D442" s="1556" t="str">
        <f t="shared" si="31"/>
        <v>25.20</v>
      </c>
      <c r="E442" s="1556"/>
      <c r="F442" s="1556"/>
      <c r="G442" s="1558" t="str">
        <f t="shared" si="32"/>
        <v>25.20</v>
      </c>
    </row>
    <row r="443" ht="14.25" customHeight="1">
      <c r="A443" s="1554" t="s">
        <v>2058</v>
      </c>
      <c r="B443" s="1555">
        <v>6.15</v>
      </c>
      <c r="C443" s="1556">
        <v>5.23</v>
      </c>
      <c r="D443" s="1556" t="str">
        <f t="shared" si="31"/>
        <v>32.16</v>
      </c>
      <c r="E443" s="1557" t="s">
        <v>2059</v>
      </c>
      <c r="F443" s="1556" t="str">
        <f>(0.8*2.1*4)+(0.4*0.6*2)</f>
        <v>7.20</v>
      </c>
      <c r="G443" s="1558" t="str">
        <f t="shared" si="32"/>
        <v>24.96</v>
      </c>
    </row>
    <row r="444" ht="14.25" customHeight="1">
      <c r="A444" s="1553"/>
      <c r="B444" s="561"/>
      <c r="C444" s="561"/>
      <c r="D444" s="561"/>
      <c r="E444" s="561"/>
      <c r="F444" s="561"/>
      <c r="G444" s="124"/>
    </row>
    <row r="445" ht="14.25" customHeight="1">
      <c r="A445" s="1470" t="s">
        <v>2064</v>
      </c>
      <c r="B445" s="561"/>
      <c r="C445" s="561"/>
      <c r="D445" s="561"/>
      <c r="E445" s="561"/>
      <c r="F445" s="561"/>
      <c r="G445" s="124"/>
    </row>
    <row r="446" ht="14.25" customHeight="1">
      <c r="A446" s="1560"/>
      <c r="B446" s="1210"/>
      <c r="C446" s="1561" t="s">
        <v>2018</v>
      </c>
      <c r="D446" s="561"/>
      <c r="E446" s="561"/>
      <c r="F446" s="41"/>
      <c r="G446" s="1550"/>
    </row>
    <row r="447" ht="14.25" customHeight="1">
      <c r="A447" s="1421"/>
      <c r="B447" s="1418"/>
      <c r="C447" s="1473" t="s">
        <v>1467</v>
      </c>
      <c r="D447" s="561"/>
      <c r="E447" s="561"/>
      <c r="F447" s="41"/>
      <c r="G447" s="1541" t="str">
        <f>ROUNDUP(G411+G412+G413+G414+G415+G416+G417+G418,2)</f>
        <v>48.43</v>
      </c>
    </row>
    <row r="448" ht="14.25" customHeight="1">
      <c r="A448" s="1421"/>
      <c r="B448" s="1418"/>
      <c r="C448" s="1561" t="s">
        <v>2029</v>
      </c>
      <c r="D448" s="561"/>
      <c r="E448" s="561"/>
      <c r="F448" s="41"/>
      <c r="G448" s="1562"/>
    </row>
    <row r="449" ht="14.25" customHeight="1">
      <c r="A449" s="1421"/>
      <c r="B449" s="1418"/>
      <c r="C449" s="1473" t="s">
        <v>1467</v>
      </c>
      <c r="D449" s="561"/>
      <c r="E449" s="561"/>
      <c r="F449" s="41"/>
      <c r="G449" s="1541" t="str">
        <f>ROUNDUP(G421+G422+G423+G424+G425+G426+G427+G428+G429+G430+G431+G432,2)</f>
        <v>205.01</v>
      </c>
    </row>
    <row r="450" ht="14.25" customHeight="1">
      <c r="A450" s="1421"/>
      <c r="B450" s="1418"/>
      <c r="C450" s="1561" t="s">
        <v>2047</v>
      </c>
      <c r="D450" s="561"/>
      <c r="E450" s="561"/>
      <c r="F450" s="41"/>
      <c r="G450" s="1562"/>
    </row>
    <row r="451" ht="14.25" customHeight="1">
      <c r="A451" s="1213"/>
      <c r="B451" s="39"/>
      <c r="C451" s="1473" t="s">
        <v>1467</v>
      </c>
      <c r="D451" s="561"/>
      <c r="E451" s="561"/>
      <c r="F451" s="41"/>
      <c r="G451" s="1541" t="str">
        <f>ROUNDUP(G435+G441+G442+G436+G437+G439+G440+G443,2)</f>
        <v>193.45</v>
      </c>
    </row>
    <row r="452" ht="14.25" customHeight="1">
      <c r="A452" s="1543" t="s">
        <v>1623</v>
      </c>
      <c r="B452" s="127"/>
      <c r="C452" s="127"/>
      <c r="D452" s="127"/>
      <c r="E452" s="127"/>
      <c r="F452" s="712"/>
      <c r="G452" s="1544" t="str">
        <f>ROUNDUP(G447+G449+G451,2)</f>
        <v>446.89</v>
      </c>
    </row>
    <row r="453" ht="14.25" customHeight="1">
      <c r="A453" s="1308"/>
      <c r="B453" s="1563"/>
      <c r="C453" s="1563"/>
      <c r="D453" s="1563"/>
      <c r="E453" s="1563"/>
      <c r="F453" s="1563"/>
      <c r="G453" s="1564"/>
    </row>
    <row r="454" ht="14.25" customHeight="1">
      <c r="A454" s="1199" t="s">
        <v>2065</v>
      </c>
      <c r="B454" s="1200" t="s">
        <v>2066</v>
      </c>
      <c r="C454" s="28"/>
      <c r="D454" s="28"/>
      <c r="E454" s="28"/>
      <c r="F454" s="28"/>
      <c r="G454" s="29"/>
    </row>
    <row r="455" ht="14.25" customHeight="1">
      <c r="A455" s="1281" t="s">
        <v>1577</v>
      </c>
      <c r="B455" s="1259"/>
      <c r="C455" s="1259"/>
      <c r="D455" s="1259"/>
      <c r="E455" s="1259"/>
      <c r="F455" s="1259"/>
      <c r="G455" s="1260"/>
    </row>
    <row r="456" ht="14.25" customHeight="1">
      <c r="A456" s="1510" t="s">
        <v>2017</v>
      </c>
      <c r="B456" s="854"/>
      <c r="C456" s="854"/>
      <c r="D456" s="854"/>
      <c r="E456" s="854"/>
      <c r="F456" s="854"/>
      <c r="G456" s="855"/>
    </row>
    <row r="457" ht="14.25" customHeight="1">
      <c r="A457" s="1426" t="s">
        <v>1585</v>
      </c>
      <c r="B457" s="1427" t="s">
        <v>1585</v>
      </c>
      <c r="C457" s="1427" t="s">
        <v>1899</v>
      </c>
      <c r="D457" s="1427" t="s">
        <v>1620</v>
      </c>
      <c r="E457" s="1427" t="s">
        <v>1900</v>
      </c>
      <c r="F457" s="1427" t="s">
        <v>1901</v>
      </c>
      <c r="G457" s="1463" t="s">
        <v>1902</v>
      </c>
    </row>
    <row r="458" ht="14.25" customHeight="1">
      <c r="A458" s="1464" t="s">
        <v>2018</v>
      </c>
      <c r="B458" s="561"/>
      <c r="C458" s="561"/>
      <c r="D458" s="561"/>
      <c r="E458" s="561"/>
      <c r="F458" s="561"/>
      <c r="G458" s="124"/>
    </row>
    <row r="459" ht="14.25" customHeight="1">
      <c r="A459" s="1251" t="s">
        <v>2067</v>
      </c>
      <c r="B459" s="1214" t="str">
        <f>1.05+2.85</f>
        <v>3.90</v>
      </c>
      <c r="C459" s="1214">
        <v>2.1</v>
      </c>
      <c r="D459" s="1214" t="str">
        <f t="shared" ref="D459:D464" si="33">B459*C459</f>
        <v>8.19</v>
      </c>
      <c r="E459" s="1466" t="s">
        <v>2068</v>
      </c>
      <c r="F459" s="1214" t="str">
        <f>(0.8*2.1)+(1.1*0.6)</f>
        <v>2.34</v>
      </c>
      <c r="G459" s="1467" t="str">
        <f t="shared" ref="G459:G467" si="34">D459-F459</f>
        <v>5.85</v>
      </c>
    </row>
    <row r="460" ht="14.25" customHeight="1">
      <c r="A460" s="1251" t="s">
        <v>2069</v>
      </c>
      <c r="B460" s="1535" t="str">
        <f>1.85+1.08+2</f>
        <v>4.93</v>
      </c>
      <c r="C460" s="1214">
        <v>2.1</v>
      </c>
      <c r="D460" s="1214" t="str">
        <f t="shared" si="33"/>
        <v>10.35</v>
      </c>
      <c r="E460" s="1214"/>
      <c r="F460" s="1214"/>
      <c r="G460" s="1467" t="str">
        <f t="shared" si="34"/>
        <v>10.35</v>
      </c>
    </row>
    <row r="461" ht="14.25" customHeight="1">
      <c r="A461" s="1251" t="s">
        <v>2070</v>
      </c>
      <c r="B461" s="1214" t="str">
        <f>1.05+2.85</f>
        <v>3.90</v>
      </c>
      <c r="C461" s="1214">
        <v>2.1</v>
      </c>
      <c r="D461" s="1214" t="str">
        <f t="shared" si="33"/>
        <v>8.19</v>
      </c>
      <c r="E461" s="1466" t="s">
        <v>2068</v>
      </c>
      <c r="F461" s="1214" t="str">
        <f>(0.8*2.1)+(1.1*0.6)</f>
        <v>2.34</v>
      </c>
      <c r="G461" s="1467" t="str">
        <f t="shared" si="34"/>
        <v>5.85</v>
      </c>
    </row>
    <row r="462" ht="14.25" customHeight="1">
      <c r="A462" s="1251" t="s">
        <v>2071</v>
      </c>
      <c r="B462" s="1535" t="str">
        <f>1.85+1.08+2</f>
        <v>4.93</v>
      </c>
      <c r="C462" s="1214">
        <v>2.1</v>
      </c>
      <c r="D462" s="1214" t="str">
        <f t="shared" si="33"/>
        <v>10.35</v>
      </c>
      <c r="E462" s="1214"/>
      <c r="F462" s="1214"/>
      <c r="G462" s="1467" t="str">
        <f t="shared" si="34"/>
        <v>10.35</v>
      </c>
    </row>
    <row r="463" ht="14.25" customHeight="1">
      <c r="A463" s="1251" t="s">
        <v>2072</v>
      </c>
      <c r="B463" s="1214" t="str">
        <f>1.35*2</f>
        <v>2.70</v>
      </c>
      <c r="C463" s="1214">
        <v>2.1</v>
      </c>
      <c r="D463" s="1214" t="str">
        <f t="shared" si="33"/>
        <v>5.67</v>
      </c>
      <c r="E463" s="1466" t="s">
        <v>2068</v>
      </c>
      <c r="F463" s="1214" t="str">
        <f>(0.8*2.1)+(1.1*0.6)</f>
        <v>2.34</v>
      </c>
      <c r="G463" s="1467" t="str">
        <f t="shared" si="34"/>
        <v>3.33</v>
      </c>
    </row>
    <row r="464" ht="14.25" customHeight="1">
      <c r="A464" s="1251" t="s">
        <v>2073</v>
      </c>
      <c r="B464" s="1214" t="str">
        <f>2.35+2.35</f>
        <v>4.70</v>
      </c>
      <c r="C464" s="1214">
        <v>2.1</v>
      </c>
      <c r="D464" s="1214" t="str">
        <f t="shared" si="33"/>
        <v>9.87</v>
      </c>
      <c r="E464" s="1214"/>
      <c r="F464" s="1214"/>
      <c r="G464" s="1467" t="str">
        <f t="shared" si="34"/>
        <v>9.87</v>
      </c>
    </row>
    <row r="465" ht="14.25" customHeight="1">
      <c r="A465" s="1251" t="s">
        <v>2074</v>
      </c>
      <c r="B465" s="1214">
        <v>4.0</v>
      </c>
      <c r="C465" s="1214">
        <v>2.1</v>
      </c>
      <c r="D465" s="1214" t="str">
        <f t="shared" ref="D465:D467" si="35">4*2.1</f>
        <v>8.40</v>
      </c>
      <c r="E465" s="1466" t="s">
        <v>2075</v>
      </c>
      <c r="F465" s="1214" t="str">
        <f>(0.6*1.1)+(1.2*1.1)</f>
        <v>1.98</v>
      </c>
      <c r="G465" s="1467" t="str">
        <f t="shared" si="34"/>
        <v>6.42</v>
      </c>
    </row>
    <row r="466" ht="14.25" customHeight="1">
      <c r="A466" s="1251" t="s">
        <v>2076</v>
      </c>
      <c r="B466" s="1214" t="str">
        <f t="shared" ref="B466:B467" si="36">1.85+1.65+1.65+1.85</f>
        <v>7.00</v>
      </c>
      <c r="C466" s="1214">
        <v>2.1</v>
      </c>
      <c r="D466" s="1214" t="str">
        <f t="shared" si="35"/>
        <v>8.40</v>
      </c>
      <c r="E466" s="1466" t="s">
        <v>2077</v>
      </c>
      <c r="F466" s="1214" t="str">
        <f t="shared" ref="F466:F467" si="37">(0.8*2.1)+(0.4*0.6)</f>
        <v>1.92</v>
      </c>
      <c r="G466" s="1467" t="str">
        <f t="shared" si="34"/>
        <v>6.48</v>
      </c>
    </row>
    <row r="467" ht="14.25" customHeight="1">
      <c r="A467" s="1251" t="s">
        <v>2078</v>
      </c>
      <c r="B467" s="1214" t="str">
        <f t="shared" si="36"/>
        <v>7.00</v>
      </c>
      <c r="C467" s="1214">
        <v>2.1</v>
      </c>
      <c r="D467" s="1214" t="str">
        <f t="shared" si="35"/>
        <v>8.40</v>
      </c>
      <c r="E467" s="1466" t="s">
        <v>2077</v>
      </c>
      <c r="F467" s="1214" t="str">
        <f t="shared" si="37"/>
        <v>1.92</v>
      </c>
      <c r="G467" s="1467" t="str">
        <f t="shared" si="34"/>
        <v>6.48</v>
      </c>
    </row>
    <row r="468" ht="14.25" customHeight="1">
      <c r="A468" s="1536"/>
      <c r="B468" s="561"/>
      <c r="C468" s="561"/>
      <c r="D468" s="561"/>
      <c r="E468" s="561"/>
      <c r="F468" s="561"/>
      <c r="G468" s="124"/>
    </row>
    <row r="469" ht="14.25" customHeight="1">
      <c r="A469" s="1464" t="s">
        <v>2029</v>
      </c>
      <c r="B469" s="561"/>
      <c r="C469" s="561"/>
      <c r="D469" s="561"/>
      <c r="E469" s="561"/>
      <c r="F469" s="561"/>
      <c r="G469" s="124"/>
    </row>
    <row r="470" ht="14.25" customHeight="1">
      <c r="A470" s="1251" t="s">
        <v>2079</v>
      </c>
      <c r="B470" s="1214">
        <v>3.85</v>
      </c>
      <c r="C470" s="1214">
        <v>2.1</v>
      </c>
      <c r="D470" s="1214" t="str">
        <f t="shared" ref="D470:D473" si="38">B470*C470</f>
        <v>8.09</v>
      </c>
      <c r="E470" s="1214"/>
      <c r="F470" s="1214"/>
      <c r="G470" s="1467" t="str">
        <f t="shared" ref="G470:G473" si="39">D470-F470</f>
        <v>8.09</v>
      </c>
    </row>
    <row r="471" ht="14.25" customHeight="1">
      <c r="A471" s="1251" t="s">
        <v>2080</v>
      </c>
      <c r="B471" s="1214">
        <v>3.85</v>
      </c>
      <c r="C471" s="1214">
        <v>2.1</v>
      </c>
      <c r="D471" s="1214" t="str">
        <f t="shared" si="38"/>
        <v>8.09</v>
      </c>
      <c r="E471" s="1214"/>
      <c r="F471" s="1214"/>
      <c r="G471" s="1467" t="str">
        <f t="shared" si="39"/>
        <v>8.09</v>
      </c>
    </row>
    <row r="472" ht="14.25" customHeight="1">
      <c r="A472" s="1251" t="s">
        <v>2081</v>
      </c>
      <c r="B472" s="1214">
        <v>3.85</v>
      </c>
      <c r="C472" s="1214">
        <v>2.1</v>
      </c>
      <c r="D472" s="1214" t="str">
        <f t="shared" si="38"/>
        <v>8.09</v>
      </c>
      <c r="E472" s="1466" t="s">
        <v>2082</v>
      </c>
      <c r="F472" s="1214" t="str">
        <f>(0.8*2.1)</f>
        <v>1.68</v>
      </c>
      <c r="G472" s="1467" t="str">
        <f t="shared" si="39"/>
        <v>6.41</v>
      </c>
    </row>
    <row r="473" ht="14.25" customHeight="1">
      <c r="A473" s="1251" t="s">
        <v>2081</v>
      </c>
      <c r="B473" s="1214">
        <v>3.85</v>
      </c>
      <c r="C473" s="1214">
        <v>2.1</v>
      </c>
      <c r="D473" s="1214" t="str">
        <f t="shared" si="38"/>
        <v>8.09</v>
      </c>
      <c r="E473" s="1214"/>
      <c r="F473" s="1214"/>
      <c r="G473" s="1467" t="str">
        <f t="shared" si="39"/>
        <v>8.09</v>
      </c>
    </row>
    <row r="474" ht="14.25" customHeight="1">
      <c r="A474" s="1536"/>
      <c r="B474" s="561"/>
      <c r="C474" s="561"/>
      <c r="D474" s="561"/>
      <c r="E474" s="561"/>
      <c r="F474" s="561"/>
      <c r="G474" s="124"/>
    </row>
    <row r="475" ht="14.25" customHeight="1">
      <c r="A475" s="1470" t="s">
        <v>2083</v>
      </c>
      <c r="B475" s="561"/>
      <c r="C475" s="561"/>
      <c r="D475" s="561"/>
      <c r="E475" s="561"/>
      <c r="F475" s="561"/>
      <c r="G475" s="124"/>
    </row>
    <row r="476" ht="14.25" customHeight="1">
      <c r="A476" s="1540"/>
      <c r="B476" s="1210"/>
      <c r="C476" s="1472" t="s">
        <v>2018</v>
      </c>
      <c r="D476" s="561"/>
      <c r="E476" s="561"/>
      <c r="F476" s="41"/>
      <c r="G476" s="1467"/>
    </row>
    <row r="477" ht="14.25" customHeight="1">
      <c r="A477" s="1421"/>
      <c r="B477" s="1418"/>
      <c r="C477" s="1473" t="s">
        <v>1467</v>
      </c>
      <c r="D477" s="561"/>
      <c r="E477" s="561"/>
      <c r="F477" s="41"/>
      <c r="G477" s="1541" t="str">
        <f>ROUNDUP(G459+G460+G461+G462+G465+G463+G464+G466+G467,2)</f>
        <v>64.99</v>
      </c>
    </row>
    <row r="478" ht="14.25" customHeight="1">
      <c r="A478" s="1421"/>
      <c r="B478" s="1418"/>
      <c r="C478" s="1472" t="s">
        <v>2029</v>
      </c>
      <c r="D478" s="561"/>
      <c r="E478" s="561"/>
      <c r="F478" s="41"/>
      <c r="G478" s="1542"/>
    </row>
    <row r="479" ht="14.25" customHeight="1">
      <c r="A479" s="1213"/>
      <c r="B479" s="39"/>
      <c r="C479" s="1473" t="s">
        <v>1467</v>
      </c>
      <c r="D479" s="561"/>
      <c r="E479" s="561"/>
      <c r="F479" s="41"/>
      <c r="G479" s="1541" t="str">
        <f>ROUNDUP(G470+G471+G472+G473,2)</f>
        <v>30.66</v>
      </c>
    </row>
    <row r="480" ht="14.25" customHeight="1">
      <c r="A480" s="1543" t="s">
        <v>1623</v>
      </c>
      <c r="B480" s="127"/>
      <c r="C480" s="127"/>
      <c r="D480" s="127"/>
      <c r="E480" s="127"/>
      <c r="F480" s="712"/>
      <c r="G480" s="1544" t="str">
        <f>ROUNDUP(G477+G479,2)</f>
        <v>95.65</v>
      </c>
    </row>
    <row r="481" ht="14.25" customHeight="1">
      <c r="A481" s="1308"/>
      <c r="B481" s="1563"/>
      <c r="C481" s="1563"/>
      <c r="D481" s="1563"/>
      <c r="E481" s="1563"/>
      <c r="F481" s="1563"/>
      <c r="G481" s="1564"/>
    </row>
    <row r="482" ht="14.25" customHeight="1">
      <c r="A482" s="1199" t="s">
        <v>2084</v>
      </c>
      <c r="B482" s="1200" t="s">
        <v>2085</v>
      </c>
      <c r="C482" s="28"/>
      <c r="D482" s="28"/>
      <c r="E482" s="28"/>
      <c r="F482" s="28"/>
      <c r="G482" s="29"/>
    </row>
    <row r="483" ht="14.25" customHeight="1">
      <c r="A483" s="1281" t="s">
        <v>1577</v>
      </c>
      <c r="B483" s="1259"/>
      <c r="C483" s="1259"/>
      <c r="D483" s="1259"/>
      <c r="E483" s="1259"/>
      <c r="F483" s="1259"/>
      <c r="G483" s="1260"/>
    </row>
    <row r="484" ht="14.25" customHeight="1">
      <c r="A484" s="1510" t="s">
        <v>2017</v>
      </c>
      <c r="B484" s="854"/>
      <c r="C484" s="854"/>
      <c r="D484" s="854"/>
      <c r="E484" s="854"/>
      <c r="F484" s="854"/>
      <c r="G484" s="855"/>
    </row>
    <row r="485" ht="14.25" customHeight="1">
      <c r="A485" s="1426" t="s">
        <v>1585</v>
      </c>
      <c r="B485" s="1427" t="s">
        <v>1585</v>
      </c>
      <c r="C485" s="1427" t="s">
        <v>1899</v>
      </c>
      <c r="D485" s="1427" t="s">
        <v>1620</v>
      </c>
      <c r="E485" s="1427" t="s">
        <v>1900</v>
      </c>
      <c r="F485" s="1427" t="s">
        <v>1901</v>
      </c>
      <c r="G485" s="1463" t="s">
        <v>1902</v>
      </c>
    </row>
    <row r="486" ht="14.25" customHeight="1">
      <c r="A486" s="1464" t="s">
        <v>2018</v>
      </c>
      <c r="B486" s="561"/>
      <c r="C486" s="561"/>
      <c r="D486" s="561"/>
      <c r="E486" s="561"/>
      <c r="F486" s="561"/>
      <c r="G486" s="124"/>
    </row>
    <row r="487" ht="14.25" customHeight="1">
      <c r="A487" s="1251" t="s">
        <v>2067</v>
      </c>
      <c r="B487" s="1214" t="str">
        <f>1.05+2.85</f>
        <v>3.90</v>
      </c>
      <c r="C487" s="1214">
        <v>2.1</v>
      </c>
      <c r="D487" s="1214" t="str">
        <f t="shared" ref="D487:D492" si="40">B487*C487</f>
        <v>8.19</v>
      </c>
      <c r="E487" s="1466" t="s">
        <v>2068</v>
      </c>
      <c r="F487" s="1214" t="str">
        <f>(0.8*2.1)+(1.1*0.6)</f>
        <v>2.34</v>
      </c>
      <c r="G487" s="1467" t="str">
        <f t="shared" ref="G487:G495" si="41">D487-F487</f>
        <v>5.85</v>
      </c>
    </row>
    <row r="488" ht="14.25" customHeight="1">
      <c r="A488" s="1251" t="s">
        <v>2069</v>
      </c>
      <c r="B488" s="1535" t="str">
        <f>1.85+1.08+2</f>
        <v>4.93</v>
      </c>
      <c r="C488" s="1214">
        <v>2.1</v>
      </c>
      <c r="D488" s="1214" t="str">
        <f t="shared" si="40"/>
        <v>10.35</v>
      </c>
      <c r="E488" s="1214"/>
      <c r="F488" s="1214"/>
      <c r="G488" s="1467" t="str">
        <f t="shared" si="41"/>
        <v>10.35</v>
      </c>
    </row>
    <row r="489" ht="14.25" customHeight="1">
      <c r="A489" s="1251" t="s">
        <v>2070</v>
      </c>
      <c r="B489" s="1214" t="str">
        <f>1.05+2.85</f>
        <v>3.90</v>
      </c>
      <c r="C489" s="1214">
        <v>2.1</v>
      </c>
      <c r="D489" s="1214" t="str">
        <f t="shared" si="40"/>
        <v>8.19</v>
      </c>
      <c r="E489" s="1466" t="s">
        <v>2068</v>
      </c>
      <c r="F489" s="1214" t="str">
        <f>(0.8*2.1)+(1.1*0.6)</f>
        <v>2.34</v>
      </c>
      <c r="G489" s="1467" t="str">
        <f t="shared" si="41"/>
        <v>5.85</v>
      </c>
    </row>
    <row r="490" ht="14.25" customHeight="1">
      <c r="A490" s="1251" t="s">
        <v>2071</v>
      </c>
      <c r="B490" s="1535" t="str">
        <f>1.85+1.08+2</f>
        <v>4.93</v>
      </c>
      <c r="C490" s="1214">
        <v>2.1</v>
      </c>
      <c r="D490" s="1214" t="str">
        <f t="shared" si="40"/>
        <v>10.35</v>
      </c>
      <c r="E490" s="1214"/>
      <c r="F490" s="1214"/>
      <c r="G490" s="1467" t="str">
        <f t="shared" si="41"/>
        <v>10.35</v>
      </c>
    </row>
    <row r="491" ht="14.25" customHeight="1">
      <c r="A491" s="1251" t="s">
        <v>2072</v>
      </c>
      <c r="B491" s="1214" t="str">
        <f>1.35*2</f>
        <v>2.70</v>
      </c>
      <c r="C491" s="1214">
        <v>2.1</v>
      </c>
      <c r="D491" s="1214" t="str">
        <f t="shared" si="40"/>
        <v>5.67</v>
      </c>
      <c r="E491" s="1466" t="s">
        <v>2068</v>
      </c>
      <c r="F491" s="1214" t="str">
        <f>(0.8*2.1)+(1.1*0.6)</f>
        <v>2.34</v>
      </c>
      <c r="G491" s="1467" t="str">
        <f t="shared" si="41"/>
        <v>3.33</v>
      </c>
    </row>
    <row r="492" ht="14.25" customHeight="1">
      <c r="A492" s="1251" t="s">
        <v>2073</v>
      </c>
      <c r="B492" s="1214" t="str">
        <f>2.35+2.35</f>
        <v>4.70</v>
      </c>
      <c r="C492" s="1214">
        <v>2.1</v>
      </c>
      <c r="D492" s="1214" t="str">
        <f t="shared" si="40"/>
        <v>9.87</v>
      </c>
      <c r="E492" s="1214"/>
      <c r="F492" s="1214"/>
      <c r="G492" s="1467" t="str">
        <f t="shared" si="41"/>
        <v>9.87</v>
      </c>
    </row>
    <row r="493" ht="14.25" customHeight="1">
      <c r="A493" s="1251" t="s">
        <v>2074</v>
      </c>
      <c r="B493" s="1214">
        <v>4.0</v>
      </c>
      <c r="C493" s="1214">
        <v>2.1</v>
      </c>
      <c r="D493" s="1214" t="str">
        <f t="shared" ref="D493:D495" si="42">4*2.1</f>
        <v>8.40</v>
      </c>
      <c r="E493" s="1466" t="s">
        <v>2075</v>
      </c>
      <c r="F493" s="1214" t="str">
        <f>(0.6*1.1)+(1.2*1.1)</f>
        <v>1.98</v>
      </c>
      <c r="G493" s="1467" t="str">
        <f t="shared" si="41"/>
        <v>6.42</v>
      </c>
    </row>
    <row r="494" ht="14.25" customHeight="1">
      <c r="A494" s="1251" t="s">
        <v>2076</v>
      </c>
      <c r="B494" s="1214" t="str">
        <f t="shared" ref="B494:B495" si="43">1.85+1.65+1.65+1.85</f>
        <v>7.00</v>
      </c>
      <c r="C494" s="1214">
        <v>2.1</v>
      </c>
      <c r="D494" s="1214" t="str">
        <f t="shared" si="42"/>
        <v>8.40</v>
      </c>
      <c r="E494" s="1466" t="s">
        <v>2077</v>
      </c>
      <c r="F494" s="1214" t="str">
        <f t="shared" ref="F494:F495" si="44">(0.8*2.1)+(0.4*0.6)</f>
        <v>1.92</v>
      </c>
      <c r="G494" s="1467" t="str">
        <f t="shared" si="41"/>
        <v>6.48</v>
      </c>
    </row>
    <row r="495" ht="14.25" customHeight="1">
      <c r="A495" s="1251" t="s">
        <v>2078</v>
      </c>
      <c r="B495" s="1214" t="str">
        <f t="shared" si="43"/>
        <v>7.00</v>
      </c>
      <c r="C495" s="1214">
        <v>2.1</v>
      </c>
      <c r="D495" s="1214" t="str">
        <f t="shared" si="42"/>
        <v>8.40</v>
      </c>
      <c r="E495" s="1466" t="s">
        <v>2077</v>
      </c>
      <c r="F495" s="1214" t="str">
        <f t="shared" si="44"/>
        <v>1.92</v>
      </c>
      <c r="G495" s="1467" t="str">
        <f t="shared" si="41"/>
        <v>6.48</v>
      </c>
    </row>
    <row r="496" ht="14.25" customHeight="1">
      <c r="A496" s="1536"/>
      <c r="B496" s="561"/>
      <c r="C496" s="561"/>
      <c r="D496" s="561"/>
      <c r="E496" s="561"/>
      <c r="F496" s="561"/>
      <c r="G496" s="124"/>
    </row>
    <row r="497" ht="14.25" customHeight="1">
      <c r="A497" s="1464" t="s">
        <v>2029</v>
      </c>
      <c r="B497" s="561"/>
      <c r="C497" s="561"/>
      <c r="D497" s="561"/>
      <c r="E497" s="561"/>
      <c r="F497" s="561"/>
      <c r="G497" s="124"/>
    </row>
    <row r="498" ht="14.25" customHeight="1">
      <c r="A498" s="1251" t="s">
        <v>2079</v>
      </c>
      <c r="B498" s="1214">
        <v>3.85</v>
      </c>
      <c r="C498" s="1214">
        <v>2.1</v>
      </c>
      <c r="D498" s="1214" t="str">
        <f t="shared" ref="D498:D501" si="45">B498*C498</f>
        <v>8.09</v>
      </c>
      <c r="E498" s="1214"/>
      <c r="F498" s="1214"/>
      <c r="G498" s="1467" t="str">
        <f t="shared" ref="G498:G501" si="46">D498-F498</f>
        <v>8.09</v>
      </c>
    </row>
    <row r="499" ht="14.25" customHeight="1">
      <c r="A499" s="1251" t="s">
        <v>2080</v>
      </c>
      <c r="B499" s="1214">
        <v>3.85</v>
      </c>
      <c r="C499" s="1214">
        <v>2.1</v>
      </c>
      <c r="D499" s="1214" t="str">
        <f t="shared" si="45"/>
        <v>8.09</v>
      </c>
      <c r="E499" s="1214"/>
      <c r="F499" s="1214"/>
      <c r="G499" s="1467" t="str">
        <f t="shared" si="46"/>
        <v>8.09</v>
      </c>
    </row>
    <row r="500" ht="14.25" customHeight="1">
      <c r="A500" s="1251" t="s">
        <v>2081</v>
      </c>
      <c r="B500" s="1214">
        <v>3.85</v>
      </c>
      <c r="C500" s="1214">
        <v>2.1</v>
      </c>
      <c r="D500" s="1214" t="str">
        <f t="shared" si="45"/>
        <v>8.09</v>
      </c>
      <c r="E500" s="1466" t="s">
        <v>2082</v>
      </c>
      <c r="F500" s="1214" t="str">
        <f>(0.8*2.1)</f>
        <v>1.68</v>
      </c>
      <c r="G500" s="1467" t="str">
        <f t="shared" si="46"/>
        <v>6.41</v>
      </c>
    </row>
    <row r="501" ht="14.25" customHeight="1">
      <c r="A501" s="1251" t="s">
        <v>2081</v>
      </c>
      <c r="B501" s="1214">
        <v>3.85</v>
      </c>
      <c r="C501" s="1214">
        <v>2.1</v>
      </c>
      <c r="D501" s="1214" t="str">
        <f t="shared" si="45"/>
        <v>8.09</v>
      </c>
      <c r="E501" s="1214"/>
      <c r="F501" s="1214"/>
      <c r="G501" s="1467" t="str">
        <f t="shared" si="46"/>
        <v>8.09</v>
      </c>
    </row>
    <row r="502" ht="14.25" customHeight="1">
      <c r="A502" s="1536"/>
      <c r="B502" s="561"/>
      <c r="C502" s="561"/>
      <c r="D502" s="561"/>
      <c r="E502" s="561"/>
      <c r="F502" s="561"/>
      <c r="G502" s="124"/>
    </row>
    <row r="503" ht="14.25" customHeight="1">
      <c r="A503" s="1470" t="s">
        <v>2086</v>
      </c>
      <c r="B503" s="561"/>
      <c r="C503" s="561"/>
      <c r="D503" s="561"/>
      <c r="E503" s="561"/>
      <c r="F503" s="561"/>
      <c r="G503" s="124"/>
    </row>
    <row r="504" ht="14.25" customHeight="1">
      <c r="A504" s="1540"/>
      <c r="B504" s="1210"/>
      <c r="C504" s="1472" t="s">
        <v>2018</v>
      </c>
      <c r="D504" s="561"/>
      <c r="E504" s="561"/>
      <c r="F504" s="41"/>
      <c r="G504" s="1467"/>
    </row>
    <row r="505" ht="14.25" customHeight="1">
      <c r="A505" s="1421"/>
      <c r="B505" s="1418"/>
      <c r="C505" s="1473" t="s">
        <v>1467</v>
      </c>
      <c r="D505" s="561"/>
      <c r="E505" s="561"/>
      <c r="F505" s="41"/>
      <c r="G505" s="1541" t="str">
        <f>ROUNDUP(G487+G488+G489+G490+G493+G491+G492+G494+G495,2)</f>
        <v>64.99</v>
      </c>
    </row>
    <row r="506" ht="14.25" customHeight="1">
      <c r="A506" s="1421"/>
      <c r="B506" s="1418"/>
      <c r="C506" s="1472" t="s">
        <v>2029</v>
      </c>
      <c r="D506" s="561"/>
      <c r="E506" s="561"/>
      <c r="F506" s="41"/>
      <c r="G506" s="1542"/>
    </row>
    <row r="507" ht="14.25" customHeight="1">
      <c r="A507" s="1213"/>
      <c r="B507" s="39"/>
      <c r="C507" s="1473" t="s">
        <v>1467</v>
      </c>
      <c r="D507" s="561"/>
      <c r="E507" s="561"/>
      <c r="F507" s="41"/>
      <c r="G507" s="1541" t="str">
        <f>ROUNDUP(G498+G499+G500+G501,2)</f>
        <v>30.66</v>
      </c>
    </row>
    <row r="508" ht="14.25" customHeight="1">
      <c r="A508" s="1543" t="s">
        <v>1623</v>
      </c>
      <c r="B508" s="127"/>
      <c r="C508" s="127"/>
      <c r="D508" s="127"/>
      <c r="E508" s="127"/>
      <c r="F508" s="712"/>
      <c r="G508" s="1544" t="str">
        <f>ROUNDUP(G505+G507,2)</f>
        <v>95.65</v>
      </c>
    </row>
    <row r="509" ht="14.25" customHeight="1">
      <c r="A509" s="1308"/>
      <c r="B509" s="1563"/>
      <c r="C509" s="1563"/>
      <c r="D509" s="1563"/>
      <c r="E509" s="1563"/>
      <c r="F509" s="1563"/>
      <c r="G509" s="1564"/>
    </row>
    <row r="510" ht="14.25" customHeight="1">
      <c r="A510" s="1199" t="s">
        <v>2087</v>
      </c>
      <c r="B510" s="1200" t="s">
        <v>2088</v>
      </c>
      <c r="C510" s="28"/>
      <c r="D510" s="28"/>
      <c r="E510" s="28"/>
      <c r="F510" s="28"/>
      <c r="G510" s="29"/>
    </row>
    <row r="511" ht="14.25" customHeight="1">
      <c r="A511" s="1281" t="s">
        <v>1577</v>
      </c>
      <c r="B511" s="1259"/>
      <c r="C511" s="1259"/>
      <c r="D511" s="1259"/>
      <c r="E511" s="1259"/>
      <c r="F511" s="1259"/>
      <c r="G511" s="1260"/>
    </row>
    <row r="512" ht="14.25" customHeight="1">
      <c r="A512" s="1510" t="s">
        <v>2017</v>
      </c>
      <c r="B512" s="854"/>
      <c r="C512" s="854"/>
      <c r="D512" s="854"/>
      <c r="E512" s="854"/>
      <c r="F512" s="854"/>
      <c r="G512" s="855"/>
    </row>
    <row r="513" ht="14.25" customHeight="1">
      <c r="A513" s="1426" t="s">
        <v>1585</v>
      </c>
      <c r="B513" s="1427" t="s">
        <v>1585</v>
      </c>
      <c r="C513" s="1427" t="s">
        <v>1899</v>
      </c>
      <c r="D513" s="1427" t="s">
        <v>1620</v>
      </c>
      <c r="E513" s="1427" t="s">
        <v>1900</v>
      </c>
      <c r="F513" s="1427" t="s">
        <v>1901</v>
      </c>
      <c r="G513" s="1463" t="s">
        <v>1902</v>
      </c>
    </row>
    <row r="514" ht="14.25" customHeight="1">
      <c r="A514" s="1464" t="s">
        <v>2018</v>
      </c>
      <c r="B514" s="561"/>
      <c r="C514" s="561"/>
      <c r="D514" s="561"/>
      <c r="E514" s="561"/>
      <c r="F514" s="561"/>
      <c r="G514" s="124"/>
    </row>
    <row r="515" ht="14.25" customHeight="1">
      <c r="A515" s="1465">
        <v>1.5</v>
      </c>
      <c r="B515" s="1214">
        <v>1.5</v>
      </c>
      <c r="C515" s="1214">
        <v>2.82</v>
      </c>
      <c r="D515" s="1214" t="str">
        <f t="shared" ref="D515:D516" si="47">B515*C515</f>
        <v>4.23</v>
      </c>
      <c r="E515" s="1214"/>
      <c r="F515" s="1214"/>
      <c r="G515" s="1467" t="str">
        <f t="shared" ref="G515:G516" si="48">D515</f>
        <v>4.23</v>
      </c>
    </row>
    <row r="516" ht="14.25" customHeight="1">
      <c r="A516" s="1465">
        <v>1.5</v>
      </c>
      <c r="B516" s="1214">
        <v>1.5</v>
      </c>
      <c r="C516" s="1214">
        <v>2.28</v>
      </c>
      <c r="D516" s="1214" t="str">
        <f t="shared" si="47"/>
        <v>3.42</v>
      </c>
      <c r="E516" s="1214"/>
      <c r="F516" s="1214"/>
      <c r="G516" s="1467" t="str">
        <f t="shared" si="48"/>
        <v>3.42</v>
      </c>
    </row>
    <row r="517" ht="14.25" customHeight="1">
      <c r="A517" s="1251" t="s">
        <v>2089</v>
      </c>
      <c r="B517" s="1214" t="str">
        <f>4.75+9.5+4.75</f>
        <v>19.00</v>
      </c>
      <c r="C517" s="1214">
        <v>0.15</v>
      </c>
      <c r="D517" s="1214" t="str">
        <f t="shared" ref="D517:D522" si="49">C517*B517</f>
        <v>2.85</v>
      </c>
      <c r="E517" s="1214"/>
      <c r="F517" s="1214"/>
      <c r="G517" s="1467" t="str">
        <f t="shared" ref="G517:G522" si="50">D517-F517</f>
        <v>2.85</v>
      </c>
    </row>
    <row r="518" ht="14.25" customHeight="1">
      <c r="A518" s="1251" t="s">
        <v>2090</v>
      </c>
      <c r="B518" s="1214" t="str">
        <f>4.15+4+1.6+3.08+4.5+1.65+5.15+4</f>
        <v>28.13</v>
      </c>
      <c r="C518" s="1214">
        <v>0.15</v>
      </c>
      <c r="D518" s="1214" t="str">
        <f t="shared" si="49"/>
        <v>4.22</v>
      </c>
      <c r="E518" s="1214"/>
      <c r="F518" s="1214"/>
      <c r="G518" s="1467" t="str">
        <f t="shared" si="50"/>
        <v>4.22</v>
      </c>
    </row>
    <row r="519" ht="14.25" customHeight="1">
      <c r="A519" s="1251" t="s">
        <v>2091</v>
      </c>
      <c r="B519" s="1214" t="str">
        <f>3.85+3.85+9.8+9.8</f>
        <v>27.30</v>
      </c>
      <c r="C519" s="1214">
        <v>0.15</v>
      </c>
      <c r="D519" s="1214" t="str">
        <f t="shared" si="49"/>
        <v>4.10</v>
      </c>
      <c r="E519" s="1214"/>
      <c r="F519" s="1214"/>
      <c r="G519" s="1467" t="str">
        <f t="shared" si="50"/>
        <v>4.10</v>
      </c>
    </row>
    <row r="520" ht="14.25" customHeight="1">
      <c r="A520" s="1251" t="s">
        <v>2092</v>
      </c>
      <c r="B520" s="1214" t="str">
        <f>7.8+7.5+17.1+3.35</f>
        <v>35.75</v>
      </c>
      <c r="C520" s="1214">
        <v>0.15</v>
      </c>
      <c r="D520" s="1214" t="str">
        <f t="shared" si="49"/>
        <v>5.36</v>
      </c>
      <c r="E520" s="1214"/>
      <c r="F520" s="1214"/>
      <c r="G520" s="1467" t="str">
        <f t="shared" si="50"/>
        <v>5.36</v>
      </c>
    </row>
    <row r="521" ht="14.25" customHeight="1">
      <c r="A521" s="1251" t="s">
        <v>2093</v>
      </c>
      <c r="B521" s="1214" t="str">
        <f>3.35+1.8</f>
        <v>5.15</v>
      </c>
      <c r="C521" s="1214">
        <v>1.28</v>
      </c>
      <c r="D521" s="1214" t="str">
        <f t="shared" si="49"/>
        <v>6.59</v>
      </c>
      <c r="E521" s="1214"/>
      <c r="F521" s="1214"/>
      <c r="G521" s="1467" t="str">
        <f t="shared" si="50"/>
        <v>6.59</v>
      </c>
    </row>
    <row r="522" ht="14.25" customHeight="1">
      <c r="A522" s="1251" t="s">
        <v>2094</v>
      </c>
      <c r="B522" s="1214" t="str">
        <f>7.8+7.5</f>
        <v>15.30</v>
      </c>
      <c r="C522" s="1214">
        <v>1.28</v>
      </c>
      <c r="D522" s="1214" t="str">
        <f t="shared" si="49"/>
        <v>19.58</v>
      </c>
      <c r="E522" s="1214"/>
      <c r="F522" s="1214"/>
      <c r="G522" s="1467" t="str">
        <f t="shared" si="50"/>
        <v>19.58</v>
      </c>
    </row>
    <row r="523" ht="14.25" customHeight="1">
      <c r="A523" s="1536"/>
      <c r="B523" s="561"/>
      <c r="C523" s="561"/>
      <c r="D523" s="561"/>
      <c r="E523" s="561"/>
      <c r="F523" s="561"/>
      <c r="G523" s="124"/>
    </row>
    <row r="524" ht="14.25" customHeight="1">
      <c r="A524" s="1464" t="s">
        <v>2029</v>
      </c>
      <c r="B524" s="561"/>
      <c r="C524" s="561"/>
      <c r="D524" s="561"/>
      <c r="E524" s="561"/>
      <c r="F524" s="561"/>
      <c r="G524" s="124"/>
    </row>
    <row r="525" ht="14.25" customHeight="1">
      <c r="A525" s="1465">
        <v>4.15</v>
      </c>
      <c r="B525" s="1214">
        <v>4.15</v>
      </c>
      <c r="C525" s="1214">
        <v>2.28</v>
      </c>
      <c r="D525" s="1214" t="str">
        <f>C525*B525</f>
        <v>9.46</v>
      </c>
      <c r="E525" s="1214"/>
      <c r="F525" s="1214"/>
      <c r="G525" s="1467" t="str">
        <f>D525*C525</f>
        <v>21.57</v>
      </c>
    </row>
    <row r="526" ht="14.25" customHeight="1">
      <c r="A526" s="1465">
        <v>1.5</v>
      </c>
      <c r="B526" s="1214">
        <v>1.5</v>
      </c>
      <c r="C526" s="1214">
        <v>4.32</v>
      </c>
      <c r="D526" s="1214" t="str">
        <f>B526*C526</f>
        <v>6.48</v>
      </c>
      <c r="E526" s="1214"/>
      <c r="F526" s="1214"/>
      <c r="G526" s="1467" t="str">
        <f t="shared" ref="G526:G527" si="51">D526</f>
        <v>6.48</v>
      </c>
    </row>
    <row r="527" ht="14.25" customHeight="1">
      <c r="A527" s="1465">
        <v>3.35</v>
      </c>
      <c r="B527" s="1214">
        <v>3.35</v>
      </c>
      <c r="C527" s="1214">
        <v>4.32</v>
      </c>
      <c r="D527" s="1214" t="str">
        <f t="shared" ref="D527:D533" si="52">C527*B527</f>
        <v>14.47</v>
      </c>
      <c r="E527" s="1214"/>
      <c r="F527" s="1214"/>
      <c r="G527" s="1467" t="str">
        <f t="shared" si="51"/>
        <v>14.47</v>
      </c>
    </row>
    <row r="528" ht="14.25" customHeight="1">
      <c r="A528" s="1465">
        <v>2.35</v>
      </c>
      <c r="B528" s="1214">
        <v>2.35</v>
      </c>
      <c r="C528" s="1214">
        <v>4.32</v>
      </c>
      <c r="D528" s="1214" t="str">
        <f t="shared" si="52"/>
        <v>10.15</v>
      </c>
      <c r="E528" s="1466" t="s">
        <v>2037</v>
      </c>
      <c r="F528" s="1214" t="str">
        <f>2.2*1.1</f>
        <v>2.42</v>
      </c>
      <c r="G528" s="1467" t="str">
        <f>D528-F528</f>
        <v>7.73</v>
      </c>
    </row>
    <row r="529" ht="14.25" customHeight="1">
      <c r="A529" s="1465">
        <v>4.15</v>
      </c>
      <c r="B529" s="1214">
        <v>4.15</v>
      </c>
      <c r="C529" s="1214">
        <v>1.27</v>
      </c>
      <c r="D529" s="1214" t="str">
        <f t="shared" si="52"/>
        <v>5.27</v>
      </c>
      <c r="E529" s="1214"/>
      <c r="F529" s="1214"/>
      <c r="G529" s="1467" t="str">
        <f t="shared" ref="G529:G533" si="53">D529</f>
        <v>5.27</v>
      </c>
    </row>
    <row r="530" ht="14.25" customHeight="1">
      <c r="A530" s="1251" t="s">
        <v>2095</v>
      </c>
      <c r="B530" s="1214">
        <v>4.15</v>
      </c>
      <c r="C530" s="1214">
        <v>1.27</v>
      </c>
      <c r="D530" s="1214" t="str">
        <f t="shared" si="52"/>
        <v>5.27</v>
      </c>
      <c r="E530" s="1214"/>
      <c r="F530" s="1214"/>
      <c r="G530" s="1467" t="str">
        <f t="shared" si="53"/>
        <v>5.27</v>
      </c>
    </row>
    <row r="531" ht="14.25" customHeight="1">
      <c r="A531" s="1251" t="s">
        <v>2096</v>
      </c>
      <c r="B531" s="1214" t="str">
        <f>4.45+4.6+4.6</f>
        <v>13.65</v>
      </c>
      <c r="C531" s="1214">
        <v>1.78</v>
      </c>
      <c r="D531" s="1214" t="str">
        <f t="shared" si="52"/>
        <v>24.30</v>
      </c>
      <c r="E531" s="1214"/>
      <c r="F531" s="1214"/>
      <c r="G531" s="1467" t="str">
        <f t="shared" si="53"/>
        <v>24.30</v>
      </c>
    </row>
    <row r="532" ht="14.25" customHeight="1">
      <c r="A532" s="1251" t="s">
        <v>2097</v>
      </c>
      <c r="B532" s="1214">
        <v>2.5</v>
      </c>
      <c r="C532" s="1214">
        <v>2.28</v>
      </c>
      <c r="D532" s="1214" t="str">
        <f t="shared" si="52"/>
        <v>5.70</v>
      </c>
      <c r="E532" s="1214"/>
      <c r="F532" s="1214"/>
      <c r="G532" s="1467" t="str">
        <f t="shared" si="53"/>
        <v>5.70</v>
      </c>
    </row>
    <row r="533" ht="14.25" customHeight="1">
      <c r="A533" s="1251" t="s">
        <v>2098</v>
      </c>
      <c r="B533" s="1214" t="str">
        <f>3.85+3.85</f>
        <v>7.70</v>
      </c>
      <c r="C533" s="1214">
        <v>2.28</v>
      </c>
      <c r="D533" s="1214" t="str">
        <f t="shared" si="52"/>
        <v>17.56</v>
      </c>
      <c r="E533" s="1214"/>
      <c r="F533" s="1214"/>
      <c r="G533" s="1467" t="str">
        <f t="shared" si="53"/>
        <v>17.56</v>
      </c>
    </row>
    <row r="534" ht="14.25" customHeight="1">
      <c r="A534" s="1537" t="s">
        <v>2099</v>
      </c>
      <c r="B534" s="1538">
        <v>4.6</v>
      </c>
      <c r="C534" s="1296">
        <v>1.93</v>
      </c>
      <c r="D534" s="1296" t="str">
        <f>B534*C534</f>
        <v>8.88</v>
      </c>
      <c r="E534" s="1296"/>
      <c r="F534" s="1296"/>
      <c r="G534" s="1539" t="str">
        <f>D534-F534</f>
        <v>8.88</v>
      </c>
    </row>
    <row r="535" ht="14.25" customHeight="1">
      <c r="A535" s="1536"/>
      <c r="B535" s="561"/>
      <c r="C535" s="561"/>
      <c r="D535" s="561"/>
      <c r="E535" s="561"/>
      <c r="F535" s="561"/>
      <c r="G535" s="124"/>
    </row>
    <row r="536" ht="14.25" customHeight="1">
      <c r="A536" s="1464" t="s">
        <v>2047</v>
      </c>
      <c r="B536" s="561"/>
      <c r="C536" s="561"/>
      <c r="D536" s="561"/>
      <c r="E536" s="561"/>
      <c r="F536" s="561"/>
      <c r="G536" s="124"/>
    </row>
    <row r="537" ht="14.25" customHeight="1">
      <c r="A537" s="1251" t="s">
        <v>2100</v>
      </c>
      <c r="B537" s="1214" t="str">
        <f>3.65+4.8</f>
        <v>8.45</v>
      </c>
      <c r="C537" s="1214">
        <v>4.32</v>
      </c>
      <c r="D537" s="1214" t="str">
        <f t="shared" ref="D537:D538" si="54">B537*C537</f>
        <v>36.50</v>
      </c>
      <c r="E537" s="1466" t="s">
        <v>2101</v>
      </c>
      <c r="F537" s="1214" t="str">
        <f>(2.2*1.1)+(2.3+1.1)</f>
        <v>5.82</v>
      </c>
      <c r="G537" s="1467" t="str">
        <f t="shared" ref="G537:G538" si="55">D537-F537</f>
        <v>30.68</v>
      </c>
    </row>
    <row r="538" ht="14.25" customHeight="1">
      <c r="A538" s="1251" t="s">
        <v>2102</v>
      </c>
      <c r="B538" s="1469" t="str">
        <f>9.8+4.15</f>
        <v>13.95</v>
      </c>
      <c r="C538" s="1214">
        <v>2.82</v>
      </c>
      <c r="D538" s="1214" t="str">
        <f t="shared" si="54"/>
        <v>39.34</v>
      </c>
      <c r="E538" s="1466" t="s">
        <v>2103</v>
      </c>
      <c r="F538" s="1214" t="str">
        <f>1.1*0.6*6</f>
        <v>3.96</v>
      </c>
      <c r="G538" s="1467" t="str">
        <f t="shared" si="55"/>
        <v>35.38</v>
      </c>
    </row>
    <row r="539" ht="14.25" customHeight="1">
      <c r="A539" s="1465">
        <v>9.8</v>
      </c>
      <c r="B539" s="1535">
        <v>9.8</v>
      </c>
      <c r="C539" s="1214">
        <v>2.28</v>
      </c>
      <c r="D539" s="1214" t="str">
        <f>C539*B539</f>
        <v>22.34</v>
      </c>
      <c r="E539" s="1214"/>
      <c r="F539" s="1214"/>
      <c r="G539" s="1467" t="str">
        <f>D539</f>
        <v>22.34</v>
      </c>
    </row>
    <row r="540" ht="14.25" customHeight="1">
      <c r="A540" s="1251" t="s">
        <v>2104</v>
      </c>
      <c r="B540" s="1535" t="str">
        <f>7.8+7.8+17.25</f>
        <v>32.85</v>
      </c>
      <c r="C540" s="1214">
        <v>4.32</v>
      </c>
      <c r="D540" s="1214" t="str">
        <f t="shared" ref="D540:D542" si="56">B540*C540</f>
        <v>141.91</v>
      </c>
      <c r="E540" s="1466" t="s">
        <v>2105</v>
      </c>
      <c r="F540" s="1214" t="str">
        <f>((2.3*1.1)*3)+((1.1*0.6)*2)+(1.6*2.1)</f>
        <v>12.27</v>
      </c>
      <c r="G540" s="1467" t="str">
        <f>D540-F540</f>
        <v>129.64</v>
      </c>
    </row>
    <row r="541" ht="14.25" customHeight="1">
      <c r="A541" s="1465">
        <v>5.15</v>
      </c>
      <c r="B541" s="1535">
        <v>5.15</v>
      </c>
      <c r="C541" s="1214">
        <v>4.27</v>
      </c>
      <c r="D541" s="1214" t="str">
        <f t="shared" si="56"/>
        <v>21.99</v>
      </c>
      <c r="E541" s="1214"/>
      <c r="F541" s="1214"/>
      <c r="G541" s="1467" t="str">
        <f>D541</f>
        <v>21.99</v>
      </c>
    </row>
    <row r="542" ht="14.25" customHeight="1">
      <c r="A542" s="1465">
        <v>4.15</v>
      </c>
      <c r="B542" s="1535">
        <v>4.15</v>
      </c>
      <c r="C542" s="1214">
        <v>2.84</v>
      </c>
      <c r="D542" s="1214" t="str">
        <f t="shared" si="56"/>
        <v>11.79</v>
      </c>
      <c r="E542" s="1466" t="s">
        <v>2106</v>
      </c>
      <c r="F542" s="1214" t="str">
        <f>(1.3*2.1)+(2.3*1.1)</f>
        <v>5.26</v>
      </c>
      <c r="G542" s="1467" t="str">
        <f t="shared" ref="G542:G545" si="57">D542-F542</f>
        <v>6.53</v>
      </c>
    </row>
    <row r="543" ht="14.25" customHeight="1">
      <c r="A543" s="1251" t="s">
        <v>2107</v>
      </c>
      <c r="B543" s="1214">
        <v>7.5</v>
      </c>
      <c r="C543" s="1214">
        <v>1.78</v>
      </c>
      <c r="D543" s="1214" t="str">
        <f t="shared" ref="D543:D545" si="58">C543*B543</f>
        <v>13.35</v>
      </c>
      <c r="E543" s="1214"/>
      <c r="F543" s="1214"/>
      <c r="G543" s="1467" t="str">
        <f t="shared" si="57"/>
        <v>13.35</v>
      </c>
    </row>
    <row r="544" ht="14.25" customHeight="1">
      <c r="A544" s="1251" t="s">
        <v>2108</v>
      </c>
      <c r="B544" s="1214">
        <v>16.95</v>
      </c>
      <c r="C544" s="1214">
        <v>1.28</v>
      </c>
      <c r="D544" s="1214" t="str">
        <f t="shared" si="58"/>
        <v>21.70</v>
      </c>
      <c r="E544" s="1214"/>
      <c r="F544" s="1214"/>
      <c r="G544" s="1467" t="str">
        <f t="shared" si="57"/>
        <v>21.70</v>
      </c>
    </row>
    <row r="545" ht="14.25" customHeight="1">
      <c r="A545" s="1251" t="s">
        <v>2109</v>
      </c>
      <c r="B545" s="1214" t="str">
        <f>9.5+9.5+9.5</f>
        <v>28.50</v>
      </c>
      <c r="C545" s="1214">
        <v>2.28</v>
      </c>
      <c r="D545" s="1214" t="str">
        <f t="shared" si="58"/>
        <v>64.98</v>
      </c>
      <c r="E545" s="1214"/>
      <c r="F545" s="1214"/>
      <c r="G545" s="1467" t="str">
        <f t="shared" si="57"/>
        <v>64.98</v>
      </c>
    </row>
    <row r="546" ht="14.25" customHeight="1">
      <c r="A546" s="1536"/>
      <c r="B546" s="561"/>
      <c r="C546" s="561"/>
      <c r="D546" s="561"/>
      <c r="E546" s="561"/>
      <c r="F546" s="561"/>
      <c r="G546" s="124"/>
    </row>
    <row r="547" ht="14.25" customHeight="1">
      <c r="A547" s="1470" t="s">
        <v>2060</v>
      </c>
      <c r="B547" s="561"/>
      <c r="C547" s="561"/>
      <c r="D547" s="561"/>
      <c r="E547" s="561"/>
      <c r="F547" s="561"/>
      <c r="G547" s="124"/>
    </row>
    <row r="548" ht="14.25" customHeight="1">
      <c r="A548" s="1540"/>
      <c r="B548" s="1210"/>
      <c r="C548" s="1472" t="s">
        <v>2018</v>
      </c>
      <c r="D548" s="561"/>
      <c r="E548" s="561"/>
      <c r="F548" s="41"/>
      <c r="G548" s="1467"/>
    </row>
    <row r="549" ht="14.25" customHeight="1">
      <c r="A549" s="1421"/>
      <c r="B549" s="1418"/>
      <c r="C549" s="1473" t="s">
        <v>1467</v>
      </c>
      <c r="D549" s="561"/>
      <c r="E549" s="561"/>
      <c r="F549" s="41"/>
      <c r="G549" s="1541" t="str">
        <f>ROUNDUP(G515+G516+G517+G518+G519+G520+G521+G522,2)</f>
        <v>50.36</v>
      </c>
    </row>
    <row r="550" ht="14.25" customHeight="1">
      <c r="A550" s="1421"/>
      <c r="B550" s="1418"/>
      <c r="C550" s="1472" t="s">
        <v>2029</v>
      </c>
      <c r="D550" s="561"/>
      <c r="E550" s="561"/>
      <c r="F550" s="41"/>
      <c r="G550" s="1542"/>
    </row>
    <row r="551" ht="14.25" customHeight="1">
      <c r="A551" s="1421"/>
      <c r="B551" s="1418"/>
      <c r="C551" s="1473" t="s">
        <v>1467</v>
      </c>
      <c r="D551" s="561"/>
      <c r="E551" s="561"/>
      <c r="F551" s="41"/>
      <c r="G551" s="1541" t="str">
        <f>ROUNDUP(G525+G526+G527+G528+G529+G530+G531+G532+G533+G534,2)</f>
        <v>117.23</v>
      </c>
    </row>
    <row r="552" ht="14.25" customHeight="1">
      <c r="A552" s="1421"/>
      <c r="B552" s="1418"/>
      <c r="C552" s="1472" t="s">
        <v>2047</v>
      </c>
      <c r="D552" s="561"/>
      <c r="E552" s="561"/>
      <c r="F552" s="41"/>
      <c r="G552" s="1542"/>
    </row>
    <row r="553" ht="14.25" customHeight="1">
      <c r="A553" s="1213"/>
      <c r="B553" s="39"/>
      <c r="C553" s="1473" t="s">
        <v>1467</v>
      </c>
      <c r="D553" s="561"/>
      <c r="E553" s="561"/>
      <c r="F553" s="41"/>
      <c r="G553" s="1541" t="str">
        <f>ROUNDUP(G537+G538+G539+G540+G541+G542+G543+G544+G545,2)</f>
        <v>346.60</v>
      </c>
    </row>
    <row r="554" ht="14.25" customHeight="1">
      <c r="A554" s="1543" t="s">
        <v>1623</v>
      </c>
      <c r="B554" s="127"/>
      <c r="C554" s="127"/>
      <c r="D554" s="127"/>
      <c r="E554" s="127"/>
      <c r="F554" s="712"/>
      <c r="G554" s="1544" t="str">
        <f>ROUNDUP(G549+G551+G553,2)</f>
        <v>514.19</v>
      </c>
    </row>
    <row r="555" ht="14.25" customHeight="1">
      <c r="A555" s="1308"/>
      <c r="B555" s="1563"/>
      <c r="C555" s="1563"/>
      <c r="D555" s="1563"/>
      <c r="E555" s="1563"/>
      <c r="F555" s="1563"/>
      <c r="G555" s="1564"/>
    </row>
    <row r="556" ht="14.25" customHeight="1">
      <c r="A556" s="1199" t="s">
        <v>2110</v>
      </c>
      <c r="B556" s="1200" t="s">
        <v>2111</v>
      </c>
      <c r="C556" s="28"/>
      <c r="D556" s="28"/>
      <c r="E556" s="28"/>
      <c r="F556" s="28"/>
      <c r="G556" s="29"/>
    </row>
    <row r="557" ht="14.25" customHeight="1">
      <c r="A557" s="1281" t="s">
        <v>1577</v>
      </c>
      <c r="B557" s="1259"/>
      <c r="C557" s="1259"/>
      <c r="D557" s="1259"/>
      <c r="E557" s="1259"/>
      <c r="F557" s="1259"/>
      <c r="G557" s="1260"/>
    </row>
    <row r="558" ht="14.25" customHeight="1">
      <c r="A558" s="1510" t="s">
        <v>2017</v>
      </c>
      <c r="B558" s="854"/>
      <c r="C558" s="854"/>
      <c r="D558" s="854"/>
      <c r="E558" s="854"/>
      <c r="F558" s="854"/>
      <c r="G558" s="855"/>
    </row>
    <row r="559" ht="14.25" customHeight="1">
      <c r="A559" s="1426" t="s">
        <v>1585</v>
      </c>
      <c r="B559" s="1427" t="s">
        <v>1585</v>
      </c>
      <c r="C559" s="1427" t="s">
        <v>1899</v>
      </c>
      <c r="D559" s="1427" t="s">
        <v>1620</v>
      </c>
      <c r="E559" s="1427" t="s">
        <v>1900</v>
      </c>
      <c r="F559" s="1427" t="s">
        <v>1901</v>
      </c>
      <c r="G559" s="1463" t="s">
        <v>1902</v>
      </c>
    </row>
    <row r="560" ht="14.25" customHeight="1">
      <c r="A560" s="1464" t="s">
        <v>2018</v>
      </c>
      <c r="B560" s="561"/>
      <c r="C560" s="561"/>
      <c r="D560" s="561"/>
      <c r="E560" s="561"/>
      <c r="F560" s="561"/>
      <c r="G560" s="124"/>
    </row>
    <row r="561" ht="14.25" customHeight="1">
      <c r="A561" s="1465">
        <v>1.5</v>
      </c>
      <c r="B561" s="1214">
        <v>1.5</v>
      </c>
      <c r="C561" s="1214">
        <v>2.82</v>
      </c>
      <c r="D561" s="1214" t="str">
        <f t="shared" ref="D561:D562" si="59">B561*C561</f>
        <v>4.23</v>
      </c>
      <c r="E561" s="1214"/>
      <c r="F561" s="1214"/>
      <c r="G561" s="1467" t="str">
        <f t="shared" ref="G561:G562" si="60">D561</f>
        <v>4.23</v>
      </c>
    </row>
    <row r="562" ht="14.25" customHeight="1">
      <c r="A562" s="1465">
        <v>1.5</v>
      </c>
      <c r="B562" s="1214">
        <v>1.5</v>
      </c>
      <c r="C562" s="1214">
        <v>2.28</v>
      </c>
      <c r="D562" s="1214" t="str">
        <f t="shared" si="59"/>
        <v>3.42</v>
      </c>
      <c r="E562" s="1214"/>
      <c r="F562" s="1214"/>
      <c r="G562" s="1467" t="str">
        <f t="shared" si="60"/>
        <v>3.42</v>
      </c>
    </row>
    <row r="563" ht="14.25" customHeight="1">
      <c r="A563" s="1536"/>
      <c r="B563" s="561"/>
      <c r="C563" s="561"/>
      <c r="D563" s="561"/>
      <c r="E563" s="561"/>
      <c r="F563" s="561"/>
      <c r="G563" s="124"/>
    </row>
    <row r="564" ht="14.25" customHeight="1">
      <c r="A564" s="1464" t="s">
        <v>2029</v>
      </c>
      <c r="B564" s="561"/>
      <c r="C564" s="561"/>
      <c r="D564" s="561"/>
      <c r="E564" s="561"/>
      <c r="F564" s="561"/>
      <c r="G564" s="124"/>
    </row>
    <row r="565" ht="14.25" customHeight="1">
      <c r="A565" s="1465">
        <v>1.5</v>
      </c>
      <c r="B565" s="1214">
        <v>1.5</v>
      </c>
      <c r="C565" s="1214">
        <v>4.32</v>
      </c>
      <c r="D565" s="1214" t="str">
        <f>B565*C565</f>
        <v>6.48</v>
      </c>
      <c r="E565" s="1214"/>
      <c r="F565" s="1214"/>
      <c r="G565" s="1467" t="str">
        <f>D565</f>
        <v>6.48</v>
      </c>
    </row>
    <row r="566" ht="14.25" customHeight="1">
      <c r="A566" s="1251" t="s">
        <v>2097</v>
      </c>
      <c r="B566" s="1214">
        <v>2.5</v>
      </c>
      <c r="C566" s="1214">
        <v>2.28</v>
      </c>
      <c r="D566" s="1214" t="str">
        <f>C566*B566</f>
        <v>5.70</v>
      </c>
      <c r="E566" s="1214"/>
      <c r="F566" s="1214"/>
      <c r="G566" s="1467" t="str">
        <f>D566-F566</f>
        <v>5.70</v>
      </c>
    </row>
    <row r="567" ht="14.25" customHeight="1">
      <c r="A567" s="1536"/>
      <c r="B567" s="561"/>
      <c r="C567" s="561"/>
      <c r="D567" s="561"/>
      <c r="E567" s="561"/>
      <c r="F567" s="561"/>
      <c r="G567" s="124"/>
    </row>
    <row r="568" ht="14.25" customHeight="1">
      <c r="A568" s="1464" t="s">
        <v>2047</v>
      </c>
      <c r="B568" s="561"/>
      <c r="C568" s="561"/>
      <c r="D568" s="561"/>
      <c r="E568" s="561"/>
      <c r="F568" s="561"/>
      <c r="G568" s="124"/>
    </row>
    <row r="569" ht="14.25" customHeight="1">
      <c r="A569" s="1251" t="s">
        <v>2100</v>
      </c>
      <c r="B569" s="1214" t="str">
        <f>3.65+4.8</f>
        <v>8.45</v>
      </c>
      <c r="C569" s="1214">
        <v>4.32</v>
      </c>
      <c r="D569" s="1214" t="str">
        <f t="shared" ref="D569:D570" si="61">B569*C569</f>
        <v>36.50</v>
      </c>
      <c r="E569" s="1466" t="s">
        <v>2101</v>
      </c>
      <c r="F569" s="1214" t="str">
        <f>(2.2*1.1)+(2.3+1.1)</f>
        <v>5.82</v>
      </c>
      <c r="G569" s="1467" t="str">
        <f t="shared" ref="G569:G571" si="62">D569-F569</f>
        <v>30.68</v>
      </c>
    </row>
    <row r="570" ht="14.25" customHeight="1">
      <c r="A570" s="1251" t="s">
        <v>2102</v>
      </c>
      <c r="B570" s="1469" t="str">
        <f>9.8+4.15</f>
        <v>13.95</v>
      </c>
      <c r="C570" s="1214">
        <v>2.82</v>
      </c>
      <c r="D570" s="1214" t="str">
        <f t="shared" si="61"/>
        <v>39.34</v>
      </c>
      <c r="E570" s="1466" t="s">
        <v>2103</v>
      </c>
      <c r="F570" s="1214" t="str">
        <f>1.1*0.6*6</f>
        <v>3.96</v>
      </c>
      <c r="G570" s="1467" t="str">
        <f t="shared" si="62"/>
        <v>35.38</v>
      </c>
    </row>
    <row r="571" ht="14.25" customHeight="1">
      <c r="A571" s="1465">
        <v>9.8</v>
      </c>
      <c r="B571" s="1535">
        <v>9.8</v>
      </c>
      <c r="C571" s="1214">
        <v>2.28</v>
      </c>
      <c r="D571" s="1214" t="str">
        <f>C571*B571</f>
        <v>22.34</v>
      </c>
      <c r="E571" s="1214"/>
      <c r="F571" s="1214"/>
      <c r="G571" s="1467" t="str">
        <f t="shared" si="62"/>
        <v>22.34</v>
      </c>
    </row>
    <row r="572" ht="14.25" customHeight="1">
      <c r="A572" s="1536"/>
      <c r="B572" s="561"/>
      <c r="C572" s="561"/>
      <c r="D572" s="561"/>
      <c r="E572" s="561"/>
      <c r="F572" s="561"/>
      <c r="G572" s="124"/>
    </row>
    <row r="573" ht="14.25" customHeight="1">
      <c r="A573" s="1470" t="s">
        <v>2083</v>
      </c>
      <c r="B573" s="561"/>
      <c r="C573" s="561"/>
      <c r="D573" s="561"/>
      <c r="E573" s="561"/>
      <c r="F573" s="561"/>
      <c r="G573" s="124"/>
    </row>
    <row r="574" ht="14.25" customHeight="1">
      <c r="A574" s="1540"/>
      <c r="B574" s="1210"/>
      <c r="C574" s="1472" t="s">
        <v>2018</v>
      </c>
      <c r="D574" s="561"/>
      <c r="E574" s="561"/>
      <c r="F574" s="41"/>
      <c r="G574" s="1467"/>
    </row>
    <row r="575" ht="14.25" customHeight="1">
      <c r="A575" s="1421"/>
      <c r="B575" s="1418"/>
      <c r="C575" s="1473" t="s">
        <v>1467</v>
      </c>
      <c r="D575" s="561"/>
      <c r="E575" s="561"/>
      <c r="F575" s="41"/>
      <c r="G575" s="1541" t="str">
        <f>ROUNDUP(G561+G562,2)</f>
        <v>7.65</v>
      </c>
    </row>
    <row r="576" ht="14.25" customHeight="1">
      <c r="A576" s="1421"/>
      <c r="B576" s="1418"/>
      <c r="C576" s="1472" t="s">
        <v>2029</v>
      </c>
      <c r="D576" s="561"/>
      <c r="E576" s="561"/>
      <c r="F576" s="41"/>
      <c r="G576" s="1542"/>
    </row>
    <row r="577" ht="14.25" customHeight="1">
      <c r="A577" s="1421"/>
      <c r="B577" s="1418"/>
      <c r="C577" s="1473" t="s">
        <v>1467</v>
      </c>
      <c r="D577" s="561"/>
      <c r="E577" s="561"/>
      <c r="F577" s="41"/>
      <c r="G577" s="1541" t="str">
        <f>ROUNDUP(G565+G566,2)</f>
        <v>12.18</v>
      </c>
    </row>
    <row r="578" ht="14.25" customHeight="1">
      <c r="A578" s="1421"/>
      <c r="B578" s="1418"/>
      <c r="C578" s="1472" t="s">
        <v>2047</v>
      </c>
      <c r="D578" s="561"/>
      <c r="E578" s="561"/>
      <c r="F578" s="41"/>
      <c r="G578" s="1542"/>
    </row>
    <row r="579" ht="14.25" customHeight="1">
      <c r="A579" s="1213"/>
      <c r="B579" s="39"/>
      <c r="C579" s="1473" t="s">
        <v>1467</v>
      </c>
      <c r="D579" s="561"/>
      <c r="E579" s="561"/>
      <c r="F579" s="41"/>
      <c r="G579" s="1541" t="str">
        <f>ROUNDUP(G569+G570+G571,2)</f>
        <v>88.41</v>
      </c>
    </row>
    <row r="580" ht="14.25" customHeight="1">
      <c r="A580" s="1543" t="s">
        <v>1623</v>
      </c>
      <c r="B580" s="127"/>
      <c r="C580" s="127"/>
      <c r="D580" s="127"/>
      <c r="E580" s="127"/>
      <c r="F580" s="712"/>
      <c r="G580" s="1544" t="str">
        <f>ROUNDUP(G575+G577+G579,2)</f>
        <v>108.24</v>
      </c>
    </row>
    <row r="581" ht="14.25" customHeight="1">
      <c r="A581" s="1308"/>
      <c r="B581" s="1563"/>
      <c r="C581" s="1563"/>
      <c r="D581" s="1563"/>
      <c r="E581" s="1563"/>
      <c r="F581" s="1563"/>
      <c r="G581" s="1564"/>
    </row>
    <row r="582" ht="14.25" customHeight="1">
      <c r="A582" s="1199" t="s">
        <v>2112</v>
      </c>
      <c r="B582" s="1200" t="s">
        <v>2113</v>
      </c>
      <c r="C582" s="28"/>
      <c r="D582" s="28"/>
      <c r="E582" s="28"/>
      <c r="F582" s="28"/>
      <c r="G582" s="29"/>
    </row>
    <row r="583" ht="14.25" customHeight="1">
      <c r="A583" s="1281" t="s">
        <v>1577</v>
      </c>
      <c r="B583" s="1259"/>
      <c r="C583" s="1259"/>
      <c r="D583" s="1259"/>
      <c r="E583" s="1259"/>
      <c r="F583" s="1259"/>
      <c r="G583" s="1260"/>
    </row>
    <row r="584" ht="14.25" customHeight="1">
      <c r="A584" s="1510" t="s">
        <v>2017</v>
      </c>
      <c r="B584" s="854"/>
      <c r="C584" s="854"/>
      <c r="D584" s="854"/>
      <c r="E584" s="854"/>
      <c r="F584" s="854"/>
      <c r="G584" s="855"/>
    </row>
    <row r="585" ht="14.25" customHeight="1">
      <c r="A585" s="1426" t="s">
        <v>1585</v>
      </c>
      <c r="B585" s="1427" t="s">
        <v>1585</v>
      </c>
      <c r="C585" s="1427" t="s">
        <v>1899</v>
      </c>
      <c r="D585" s="1427" t="s">
        <v>1620</v>
      </c>
      <c r="E585" s="1427" t="s">
        <v>1900</v>
      </c>
      <c r="F585" s="1427" t="s">
        <v>1901</v>
      </c>
      <c r="G585" s="1463" t="s">
        <v>1902</v>
      </c>
    </row>
    <row r="586" ht="14.25" customHeight="1">
      <c r="A586" s="1464" t="s">
        <v>2018</v>
      </c>
      <c r="B586" s="561"/>
      <c r="C586" s="561"/>
      <c r="D586" s="561"/>
      <c r="E586" s="561"/>
      <c r="F586" s="561"/>
      <c r="G586" s="124"/>
    </row>
    <row r="587" ht="14.25" customHeight="1">
      <c r="A587" s="1251" t="s">
        <v>2089</v>
      </c>
      <c r="B587" s="1214" t="str">
        <f>4.75+9.5+4.75</f>
        <v>19.00</v>
      </c>
      <c r="C587" s="1214">
        <v>0.15</v>
      </c>
      <c r="D587" s="1214" t="str">
        <f t="shared" ref="D587:D592" si="63">C587*B587</f>
        <v>2.85</v>
      </c>
      <c r="E587" s="1214"/>
      <c r="F587" s="1214"/>
      <c r="G587" s="1467" t="str">
        <f t="shared" ref="G587:G592" si="64">D587-F587</f>
        <v>2.85</v>
      </c>
    </row>
    <row r="588" ht="14.25" customHeight="1">
      <c r="A588" s="1251" t="s">
        <v>2090</v>
      </c>
      <c r="B588" s="1214" t="str">
        <f>4.15+4+1.6+3.08+4.5+1.65+5.15+4</f>
        <v>28.13</v>
      </c>
      <c r="C588" s="1214">
        <v>0.15</v>
      </c>
      <c r="D588" s="1214" t="str">
        <f t="shared" si="63"/>
        <v>4.22</v>
      </c>
      <c r="E588" s="1214"/>
      <c r="F588" s="1214"/>
      <c r="G588" s="1467" t="str">
        <f t="shared" si="64"/>
        <v>4.22</v>
      </c>
    </row>
    <row r="589" ht="14.25" customHeight="1">
      <c r="A589" s="1251" t="s">
        <v>2091</v>
      </c>
      <c r="B589" s="1214" t="str">
        <f>3.85+3.85+9.8+9.8</f>
        <v>27.30</v>
      </c>
      <c r="C589" s="1214">
        <v>0.15</v>
      </c>
      <c r="D589" s="1214" t="str">
        <f t="shared" si="63"/>
        <v>4.10</v>
      </c>
      <c r="E589" s="1214"/>
      <c r="F589" s="1214"/>
      <c r="G589" s="1467" t="str">
        <f t="shared" si="64"/>
        <v>4.10</v>
      </c>
    </row>
    <row r="590" ht="14.25" customHeight="1">
      <c r="A590" s="1251" t="s">
        <v>2092</v>
      </c>
      <c r="B590" s="1214" t="str">
        <f>7.8+7.5+17.1+3.35</f>
        <v>35.75</v>
      </c>
      <c r="C590" s="1214">
        <v>0.15</v>
      </c>
      <c r="D590" s="1214" t="str">
        <f t="shared" si="63"/>
        <v>5.36</v>
      </c>
      <c r="E590" s="1214"/>
      <c r="F590" s="1214"/>
      <c r="G590" s="1467" t="str">
        <f t="shared" si="64"/>
        <v>5.36</v>
      </c>
    </row>
    <row r="591" ht="14.25" customHeight="1">
      <c r="A591" s="1251" t="s">
        <v>2093</v>
      </c>
      <c r="B591" s="1214" t="str">
        <f>3.35+1.8</f>
        <v>5.15</v>
      </c>
      <c r="C591" s="1214">
        <v>1.28</v>
      </c>
      <c r="D591" s="1214" t="str">
        <f t="shared" si="63"/>
        <v>6.59</v>
      </c>
      <c r="E591" s="1214"/>
      <c r="F591" s="1214"/>
      <c r="G591" s="1467" t="str">
        <f t="shared" si="64"/>
        <v>6.59</v>
      </c>
    </row>
    <row r="592" ht="14.25" customHeight="1">
      <c r="A592" s="1251" t="s">
        <v>2094</v>
      </c>
      <c r="B592" s="1214" t="str">
        <f>7.8+7.5</f>
        <v>15.30</v>
      </c>
      <c r="C592" s="1214">
        <v>1.28</v>
      </c>
      <c r="D592" s="1214" t="str">
        <f t="shared" si="63"/>
        <v>19.58</v>
      </c>
      <c r="E592" s="1214"/>
      <c r="F592" s="1214"/>
      <c r="G592" s="1467" t="str">
        <f t="shared" si="64"/>
        <v>19.58</v>
      </c>
    </row>
    <row r="593" ht="14.25" customHeight="1">
      <c r="A593" s="1536"/>
      <c r="B593" s="561"/>
      <c r="C593" s="561"/>
      <c r="D593" s="561"/>
      <c r="E593" s="561"/>
      <c r="F593" s="561"/>
      <c r="G593" s="124"/>
    </row>
    <row r="594" ht="14.25" customHeight="1">
      <c r="A594" s="1464" t="s">
        <v>2029</v>
      </c>
      <c r="B594" s="561"/>
      <c r="C594" s="561"/>
      <c r="D594" s="561"/>
      <c r="E594" s="561"/>
      <c r="F594" s="561"/>
      <c r="G594" s="124"/>
    </row>
    <row r="595" ht="14.25" customHeight="1">
      <c r="A595" s="1465">
        <v>4.15</v>
      </c>
      <c r="B595" s="1214">
        <v>4.15</v>
      </c>
      <c r="C595" s="1214">
        <v>2.28</v>
      </c>
      <c r="D595" s="1214" t="str">
        <f t="shared" ref="D595:D601" si="65">C595*B595</f>
        <v>9.46</v>
      </c>
      <c r="E595" s="1214"/>
      <c r="F595" s="1214"/>
      <c r="G595" s="1467" t="str">
        <f>D595*C595</f>
        <v>21.57</v>
      </c>
    </row>
    <row r="596" ht="14.25" customHeight="1">
      <c r="A596" s="1465">
        <v>3.35</v>
      </c>
      <c r="B596" s="1214">
        <v>3.35</v>
      </c>
      <c r="C596" s="1214">
        <v>4.32</v>
      </c>
      <c r="D596" s="1214" t="str">
        <f t="shared" si="65"/>
        <v>14.47</v>
      </c>
      <c r="E596" s="1214"/>
      <c r="F596" s="1214"/>
      <c r="G596" s="1467" t="str">
        <f>D596</f>
        <v>14.47</v>
      </c>
    </row>
    <row r="597" ht="14.25" customHeight="1">
      <c r="A597" s="1465">
        <v>2.35</v>
      </c>
      <c r="B597" s="1214">
        <v>2.35</v>
      </c>
      <c r="C597" s="1214">
        <v>4.32</v>
      </c>
      <c r="D597" s="1214" t="str">
        <f t="shared" si="65"/>
        <v>10.15</v>
      </c>
      <c r="E597" s="1466" t="s">
        <v>2037</v>
      </c>
      <c r="F597" s="1214" t="str">
        <f>2.2*1.1</f>
        <v>2.42</v>
      </c>
      <c r="G597" s="1467" t="str">
        <f>D597-F597</f>
        <v>7.73</v>
      </c>
    </row>
    <row r="598" ht="14.25" customHeight="1">
      <c r="A598" s="1465">
        <v>4.15</v>
      </c>
      <c r="B598" s="1214">
        <v>4.15</v>
      </c>
      <c r="C598" s="1214">
        <v>1.27</v>
      </c>
      <c r="D598" s="1214" t="str">
        <f t="shared" si="65"/>
        <v>5.27</v>
      </c>
      <c r="E598" s="1214"/>
      <c r="F598" s="1214"/>
      <c r="G598" s="1467" t="str">
        <f t="shared" ref="G598:G601" si="66">D598</f>
        <v>5.27</v>
      </c>
    </row>
    <row r="599" ht="14.25" customHeight="1">
      <c r="A599" s="1251" t="s">
        <v>2095</v>
      </c>
      <c r="B599" s="1214">
        <v>4.15</v>
      </c>
      <c r="C599" s="1214">
        <v>1.27</v>
      </c>
      <c r="D599" s="1214" t="str">
        <f t="shared" si="65"/>
        <v>5.27</v>
      </c>
      <c r="E599" s="1214"/>
      <c r="F599" s="1214"/>
      <c r="G599" s="1467" t="str">
        <f t="shared" si="66"/>
        <v>5.27</v>
      </c>
    </row>
    <row r="600" ht="14.25" customHeight="1">
      <c r="A600" s="1251" t="s">
        <v>2096</v>
      </c>
      <c r="B600" s="1214" t="str">
        <f>4.45+4.6+4.6</f>
        <v>13.65</v>
      </c>
      <c r="C600" s="1214">
        <v>1.78</v>
      </c>
      <c r="D600" s="1214" t="str">
        <f t="shared" si="65"/>
        <v>24.30</v>
      </c>
      <c r="E600" s="1214"/>
      <c r="F600" s="1214"/>
      <c r="G600" s="1467" t="str">
        <f t="shared" si="66"/>
        <v>24.30</v>
      </c>
    </row>
    <row r="601" ht="14.25" customHeight="1">
      <c r="A601" s="1251" t="s">
        <v>2098</v>
      </c>
      <c r="B601" s="1214" t="str">
        <f>3.85+3.85</f>
        <v>7.70</v>
      </c>
      <c r="C601" s="1214">
        <v>2.28</v>
      </c>
      <c r="D601" s="1214" t="str">
        <f t="shared" si="65"/>
        <v>17.56</v>
      </c>
      <c r="E601" s="1214"/>
      <c r="F601" s="1214"/>
      <c r="G601" s="1467" t="str">
        <f t="shared" si="66"/>
        <v>17.56</v>
      </c>
    </row>
    <row r="602" ht="14.25" customHeight="1">
      <c r="A602" s="1537" t="s">
        <v>2099</v>
      </c>
      <c r="B602" s="1538">
        <v>4.6</v>
      </c>
      <c r="C602" s="1296">
        <v>1.93</v>
      </c>
      <c r="D602" s="1296" t="str">
        <f>B602*C602</f>
        <v>8.88</v>
      </c>
      <c r="E602" s="1296"/>
      <c r="F602" s="1296"/>
      <c r="G602" s="1539" t="str">
        <f>D602-F602</f>
        <v>8.88</v>
      </c>
    </row>
    <row r="603" ht="14.25" customHeight="1">
      <c r="A603" s="1536"/>
      <c r="B603" s="561"/>
      <c r="C603" s="561"/>
      <c r="D603" s="561"/>
      <c r="E603" s="561"/>
      <c r="F603" s="561"/>
      <c r="G603" s="124"/>
    </row>
    <row r="604" ht="14.25" customHeight="1">
      <c r="A604" s="1464" t="s">
        <v>2047</v>
      </c>
      <c r="B604" s="561"/>
      <c r="C604" s="561"/>
      <c r="D604" s="561"/>
      <c r="E604" s="561"/>
      <c r="F604" s="561"/>
      <c r="G604" s="124"/>
    </row>
    <row r="605" ht="14.25" customHeight="1">
      <c r="A605" s="1251" t="s">
        <v>2100</v>
      </c>
      <c r="B605" s="1214" t="str">
        <f>3.65+4.8</f>
        <v>8.45</v>
      </c>
      <c r="C605" s="1214">
        <v>4.32</v>
      </c>
      <c r="D605" s="1214" t="str">
        <f t="shared" ref="D605:D608" si="67">B605*C605</f>
        <v>36.50</v>
      </c>
      <c r="E605" s="1466" t="s">
        <v>2101</v>
      </c>
      <c r="F605" s="1214" t="str">
        <f>(2.2*1.1)+(2.3+1.1)</f>
        <v>5.82</v>
      </c>
      <c r="G605" s="1467" t="str">
        <f t="shared" ref="G605:G606" si="68">D605-F605</f>
        <v>30.68</v>
      </c>
    </row>
    <row r="606" ht="14.25" customHeight="1">
      <c r="A606" s="1251" t="s">
        <v>2104</v>
      </c>
      <c r="B606" s="1535" t="str">
        <f>7.8+7.8+17.25</f>
        <v>32.85</v>
      </c>
      <c r="C606" s="1214">
        <v>4.32</v>
      </c>
      <c r="D606" s="1214" t="str">
        <f t="shared" si="67"/>
        <v>141.91</v>
      </c>
      <c r="E606" s="1466" t="s">
        <v>2105</v>
      </c>
      <c r="F606" s="1214" t="str">
        <f>((2.3*1.1)*3)+((1.1*0.6)*2)+(1.6*2.1)</f>
        <v>12.27</v>
      </c>
      <c r="G606" s="1467" t="str">
        <f t="shared" si="68"/>
        <v>129.64</v>
      </c>
    </row>
    <row r="607" ht="14.25" customHeight="1">
      <c r="A607" s="1465">
        <v>5.15</v>
      </c>
      <c r="B607" s="1535">
        <v>5.15</v>
      </c>
      <c r="C607" s="1214">
        <v>4.27</v>
      </c>
      <c r="D607" s="1214" t="str">
        <f t="shared" si="67"/>
        <v>21.99</v>
      </c>
      <c r="E607" s="1214"/>
      <c r="F607" s="1214"/>
      <c r="G607" s="1467" t="str">
        <f>D607</f>
        <v>21.99</v>
      </c>
    </row>
    <row r="608" ht="14.25" customHeight="1">
      <c r="A608" s="1465">
        <v>4.15</v>
      </c>
      <c r="B608" s="1535">
        <v>4.15</v>
      </c>
      <c r="C608" s="1214">
        <v>2.84</v>
      </c>
      <c r="D608" s="1214" t="str">
        <f t="shared" si="67"/>
        <v>11.79</v>
      </c>
      <c r="E608" s="1466" t="s">
        <v>2106</v>
      </c>
      <c r="F608" s="1214" t="str">
        <f>(1.3*2.1)+(2.3*1.1)</f>
        <v>5.26</v>
      </c>
      <c r="G608" s="1467" t="str">
        <f t="shared" ref="G608:G611" si="69">D608-F608</f>
        <v>6.53</v>
      </c>
    </row>
    <row r="609" ht="14.25" customHeight="1">
      <c r="A609" s="1251" t="s">
        <v>2107</v>
      </c>
      <c r="B609" s="1214">
        <v>7.5</v>
      </c>
      <c r="C609" s="1214">
        <v>1.78</v>
      </c>
      <c r="D609" s="1214" t="str">
        <f t="shared" ref="D609:D611" si="70">C609*B609</f>
        <v>13.35</v>
      </c>
      <c r="E609" s="1214"/>
      <c r="F609" s="1214"/>
      <c r="G609" s="1467" t="str">
        <f t="shared" si="69"/>
        <v>13.35</v>
      </c>
    </row>
    <row r="610" ht="14.25" customHeight="1">
      <c r="A610" s="1251" t="s">
        <v>2108</v>
      </c>
      <c r="B610" s="1214">
        <v>16.95</v>
      </c>
      <c r="C610" s="1214">
        <v>1.28</v>
      </c>
      <c r="D610" s="1214" t="str">
        <f t="shared" si="70"/>
        <v>21.70</v>
      </c>
      <c r="E610" s="1214"/>
      <c r="F610" s="1214"/>
      <c r="G610" s="1467" t="str">
        <f t="shared" si="69"/>
        <v>21.70</v>
      </c>
    </row>
    <row r="611" ht="14.25" customHeight="1">
      <c r="A611" s="1251" t="s">
        <v>2109</v>
      </c>
      <c r="B611" s="1214" t="str">
        <f>9.5+9.5+9.5</f>
        <v>28.50</v>
      </c>
      <c r="C611" s="1214">
        <v>2.28</v>
      </c>
      <c r="D611" s="1214" t="str">
        <f t="shared" si="70"/>
        <v>64.98</v>
      </c>
      <c r="E611" s="1214"/>
      <c r="F611" s="1214"/>
      <c r="G611" s="1467" t="str">
        <f t="shared" si="69"/>
        <v>64.98</v>
      </c>
    </row>
    <row r="612" ht="14.25" customHeight="1">
      <c r="A612" s="1536"/>
      <c r="B612" s="561"/>
      <c r="C612" s="561"/>
      <c r="D612" s="561"/>
      <c r="E612" s="561"/>
      <c r="F612" s="561"/>
      <c r="G612" s="124"/>
    </row>
    <row r="613" ht="14.25" customHeight="1">
      <c r="A613" s="1470" t="s">
        <v>2114</v>
      </c>
      <c r="B613" s="561"/>
      <c r="C613" s="561"/>
      <c r="D613" s="561"/>
      <c r="E613" s="561"/>
      <c r="F613" s="561"/>
      <c r="G613" s="124"/>
    </row>
    <row r="614" ht="14.25" customHeight="1">
      <c r="A614" s="1540"/>
      <c r="B614" s="1210"/>
      <c r="C614" s="1472" t="s">
        <v>2018</v>
      </c>
      <c r="D614" s="561"/>
      <c r="E614" s="561"/>
      <c r="F614" s="41"/>
      <c r="G614" s="1467"/>
    </row>
    <row r="615" ht="14.25" customHeight="1">
      <c r="A615" s="1421"/>
      <c r="B615" s="1418"/>
      <c r="C615" s="1473" t="s">
        <v>1467</v>
      </c>
      <c r="D615" s="561"/>
      <c r="E615" s="561"/>
      <c r="F615" s="41"/>
      <c r="G615" s="1541" t="str">
        <f>ROUNDUP(G587+G588+G589+G590+G591+G592,2)</f>
        <v>42.71</v>
      </c>
    </row>
    <row r="616" ht="14.25" customHeight="1">
      <c r="A616" s="1421"/>
      <c r="B616" s="1418"/>
      <c r="C616" s="1472" t="s">
        <v>2029</v>
      </c>
      <c r="D616" s="561"/>
      <c r="E616" s="561"/>
      <c r="F616" s="41"/>
      <c r="G616" s="1542"/>
    </row>
    <row r="617" ht="14.25" customHeight="1">
      <c r="A617" s="1421"/>
      <c r="B617" s="1418"/>
      <c r="C617" s="1473" t="s">
        <v>1467</v>
      </c>
      <c r="D617" s="561"/>
      <c r="E617" s="561"/>
      <c r="F617" s="41"/>
      <c r="G617" s="1541" t="str">
        <f>ROUNDUP(G595+G596+G597+G598+G599+G600+G601+G602,2)</f>
        <v>105.05</v>
      </c>
    </row>
    <row r="618" ht="14.25" customHeight="1">
      <c r="A618" s="1421"/>
      <c r="B618" s="1418"/>
      <c r="C618" s="1472" t="s">
        <v>2047</v>
      </c>
      <c r="D618" s="561"/>
      <c r="E618" s="561"/>
      <c r="F618" s="41"/>
      <c r="G618" s="1542"/>
    </row>
    <row r="619" ht="14.25" customHeight="1">
      <c r="A619" s="1213"/>
      <c r="B619" s="39"/>
      <c r="C619" s="1473" t="s">
        <v>1467</v>
      </c>
      <c r="D619" s="561"/>
      <c r="E619" s="561"/>
      <c r="F619" s="41"/>
      <c r="G619" s="1541" t="str">
        <f>ROUNDUP(G605+G606+G607+G608+G609+G610+G611,2)</f>
        <v>288.87</v>
      </c>
    </row>
    <row r="620" ht="14.25" customHeight="1">
      <c r="A620" s="1543" t="s">
        <v>1623</v>
      </c>
      <c r="B620" s="127"/>
      <c r="C620" s="127"/>
      <c r="D620" s="127"/>
      <c r="E620" s="127"/>
      <c r="F620" s="712"/>
      <c r="G620" s="1544" t="str">
        <f>ROUNDUP(G615+G617+G619,2)</f>
        <v>436.63</v>
      </c>
    </row>
    <row r="621" ht="14.25" customHeight="1">
      <c r="A621" s="1565"/>
      <c r="B621" s="1566"/>
      <c r="C621" s="1566"/>
      <c r="D621" s="1566"/>
      <c r="E621" s="1566"/>
      <c r="F621" s="1566"/>
      <c r="G621" s="1567"/>
    </row>
    <row r="622" ht="14.25" customHeight="1">
      <c r="A622" s="1199" t="s">
        <v>2115</v>
      </c>
      <c r="B622" s="1200" t="s">
        <v>2116</v>
      </c>
      <c r="C622" s="28"/>
      <c r="D622" s="28"/>
      <c r="E622" s="28"/>
      <c r="F622" s="28"/>
      <c r="G622" s="29"/>
    </row>
    <row r="623" ht="14.25" customHeight="1">
      <c r="A623" s="1281" t="s">
        <v>1577</v>
      </c>
      <c r="B623" s="1259"/>
      <c r="C623" s="1259"/>
      <c r="D623" s="1259"/>
      <c r="E623" s="1259"/>
      <c r="F623" s="1259"/>
      <c r="G623" s="1260"/>
    </row>
    <row r="624" ht="14.25" customHeight="1">
      <c r="A624" s="1510" t="s">
        <v>2017</v>
      </c>
      <c r="B624" s="854"/>
      <c r="C624" s="854"/>
      <c r="D624" s="854"/>
      <c r="E624" s="854"/>
      <c r="F624" s="854"/>
      <c r="G624" s="855"/>
    </row>
    <row r="625" ht="14.25" customHeight="1">
      <c r="A625" s="1426" t="s">
        <v>1585</v>
      </c>
      <c r="B625" s="1427" t="s">
        <v>1585</v>
      </c>
      <c r="C625" s="1427" t="s">
        <v>1899</v>
      </c>
      <c r="D625" s="1427" t="s">
        <v>1620</v>
      </c>
      <c r="E625" s="1427" t="s">
        <v>1900</v>
      </c>
      <c r="F625" s="1427" t="s">
        <v>1901</v>
      </c>
      <c r="G625" s="1463" t="s">
        <v>1902</v>
      </c>
    </row>
    <row r="626" ht="14.25" customHeight="1">
      <c r="A626" s="1464" t="s">
        <v>2018</v>
      </c>
      <c r="B626" s="561"/>
      <c r="C626" s="561"/>
      <c r="D626" s="561"/>
      <c r="E626" s="561"/>
      <c r="F626" s="561"/>
      <c r="G626" s="124"/>
    </row>
    <row r="627" ht="14.25" customHeight="1">
      <c r="A627" s="1465">
        <v>1.5</v>
      </c>
      <c r="B627" s="1214">
        <v>1.5</v>
      </c>
      <c r="C627" s="1214">
        <v>2.82</v>
      </c>
      <c r="D627" s="1214" t="str">
        <f t="shared" ref="D627:D628" si="71">B627*C627</f>
        <v>4.23</v>
      </c>
      <c r="E627" s="1214"/>
      <c r="F627" s="1214"/>
      <c r="G627" s="1467" t="str">
        <f t="shared" ref="G627:G628" si="72">D627</f>
        <v>4.23</v>
      </c>
    </row>
    <row r="628" ht="14.25" customHeight="1">
      <c r="A628" s="1465">
        <v>1.5</v>
      </c>
      <c r="B628" s="1214">
        <v>1.5</v>
      </c>
      <c r="C628" s="1214">
        <v>2.28</v>
      </c>
      <c r="D628" s="1214" t="str">
        <f t="shared" si="71"/>
        <v>3.42</v>
      </c>
      <c r="E628" s="1214"/>
      <c r="F628" s="1214"/>
      <c r="G628" s="1467" t="str">
        <f t="shared" si="72"/>
        <v>3.42</v>
      </c>
    </row>
    <row r="629" ht="14.25" customHeight="1">
      <c r="A629" s="1536"/>
      <c r="B629" s="561"/>
      <c r="C629" s="561"/>
      <c r="D629" s="561"/>
      <c r="E629" s="561"/>
      <c r="F629" s="561"/>
      <c r="G629" s="124"/>
    </row>
    <row r="630" ht="14.25" customHeight="1">
      <c r="A630" s="1464" t="s">
        <v>2029</v>
      </c>
      <c r="B630" s="561"/>
      <c r="C630" s="561"/>
      <c r="D630" s="561"/>
      <c r="E630" s="561"/>
      <c r="F630" s="561"/>
      <c r="G630" s="124"/>
    </row>
    <row r="631" ht="14.25" customHeight="1">
      <c r="A631" s="1465">
        <v>1.5</v>
      </c>
      <c r="B631" s="1214">
        <v>1.5</v>
      </c>
      <c r="C631" s="1214">
        <v>4.32</v>
      </c>
      <c r="D631" s="1214" t="str">
        <f>B631*C631</f>
        <v>6.48</v>
      </c>
      <c r="E631" s="1214"/>
      <c r="F631" s="1214"/>
      <c r="G631" s="1467" t="str">
        <f>D631</f>
        <v>6.48</v>
      </c>
    </row>
    <row r="632" ht="14.25" customHeight="1">
      <c r="A632" s="1251" t="s">
        <v>2097</v>
      </c>
      <c r="B632" s="1214">
        <v>2.5</v>
      </c>
      <c r="C632" s="1214">
        <v>2.28</v>
      </c>
      <c r="D632" s="1214" t="str">
        <f>C632*B632</f>
        <v>5.70</v>
      </c>
      <c r="E632" s="1214"/>
      <c r="F632" s="1214"/>
      <c r="G632" s="1467" t="str">
        <f>D632-F632</f>
        <v>5.70</v>
      </c>
    </row>
    <row r="633" ht="14.25" customHeight="1">
      <c r="A633" s="1536"/>
      <c r="B633" s="561"/>
      <c r="C633" s="561"/>
      <c r="D633" s="561"/>
      <c r="E633" s="561"/>
      <c r="F633" s="561"/>
      <c r="G633" s="124"/>
    </row>
    <row r="634" ht="14.25" customHeight="1">
      <c r="A634" s="1464" t="s">
        <v>2047</v>
      </c>
      <c r="B634" s="561"/>
      <c r="C634" s="561"/>
      <c r="D634" s="561"/>
      <c r="E634" s="561"/>
      <c r="F634" s="561"/>
      <c r="G634" s="124"/>
    </row>
    <row r="635" ht="14.25" customHeight="1">
      <c r="A635" s="1251" t="s">
        <v>2100</v>
      </c>
      <c r="B635" s="1214" t="str">
        <f>3.65+4.8</f>
        <v>8.45</v>
      </c>
      <c r="C635" s="1214">
        <v>4.32</v>
      </c>
      <c r="D635" s="1214" t="str">
        <f t="shared" ref="D635:D636" si="73">B635*C635</f>
        <v>36.50</v>
      </c>
      <c r="E635" s="1466" t="s">
        <v>2101</v>
      </c>
      <c r="F635" s="1214" t="str">
        <f>(2.2*1.1)+(2.3+1.1)</f>
        <v>5.82</v>
      </c>
      <c r="G635" s="1467" t="str">
        <f t="shared" ref="G635:G637" si="74">D635-F635</f>
        <v>30.68</v>
      </c>
    </row>
    <row r="636" ht="14.25" customHeight="1">
      <c r="A636" s="1251" t="s">
        <v>2102</v>
      </c>
      <c r="B636" s="1469" t="str">
        <f>9.8+4.15</f>
        <v>13.95</v>
      </c>
      <c r="C636" s="1214">
        <v>2.82</v>
      </c>
      <c r="D636" s="1214" t="str">
        <f t="shared" si="73"/>
        <v>39.34</v>
      </c>
      <c r="E636" s="1466" t="s">
        <v>2103</v>
      </c>
      <c r="F636" s="1214" t="str">
        <f>1.1*0.6*6</f>
        <v>3.96</v>
      </c>
      <c r="G636" s="1467" t="str">
        <f t="shared" si="74"/>
        <v>35.38</v>
      </c>
    </row>
    <row r="637" ht="14.25" customHeight="1">
      <c r="A637" s="1465">
        <v>9.8</v>
      </c>
      <c r="B637" s="1535">
        <v>9.8</v>
      </c>
      <c r="C637" s="1214">
        <v>2.28</v>
      </c>
      <c r="D637" s="1214" t="str">
        <f>C637*B637</f>
        <v>22.34</v>
      </c>
      <c r="E637" s="1214"/>
      <c r="F637" s="1214"/>
      <c r="G637" s="1467" t="str">
        <f t="shared" si="74"/>
        <v>22.34</v>
      </c>
    </row>
    <row r="638" ht="14.25" customHeight="1">
      <c r="A638" s="1536"/>
      <c r="B638" s="561"/>
      <c r="C638" s="561"/>
      <c r="D638" s="561"/>
      <c r="E638" s="561"/>
      <c r="F638" s="561"/>
      <c r="G638" s="124"/>
    </row>
    <row r="639" ht="14.25" customHeight="1">
      <c r="A639" s="1470" t="s">
        <v>2083</v>
      </c>
      <c r="B639" s="561"/>
      <c r="C639" s="561"/>
      <c r="D639" s="561"/>
      <c r="E639" s="561"/>
      <c r="F639" s="561"/>
      <c r="G639" s="124"/>
    </row>
    <row r="640" ht="14.25" customHeight="1">
      <c r="A640" s="1540"/>
      <c r="B640" s="1210"/>
      <c r="C640" s="1472" t="s">
        <v>2018</v>
      </c>
      <c r="D640" s="561"/>
      <c r="E640" s="561"/>
      <c r="F640" s="41"/>
      <c r="G640" s="1467"/>
    </row>
    <row r="641" ht="14.25" customHeight="1">
      <c r="A641" s="1421"/>
      <c r="B641" s="1418"/>
      <c r="C641" s="1473" t="s">
        <v>1467</v>
      </c>
      <c r="D641" s="561"/>
      <c r="E641" s="561"/>
      <c r="F641" s="41"/>
      <c r="G641" s="1541" t="str">
        <f>ROUNDUP(G627+G628,2)</f>
        <v>7.65</v>
      </c>
    </row>
    <row r="642" ht="14.25" customHeight="1">
      <c r="A642" s="1421"/>
      <c r="B642" s="1418"/>
      <c r="C642" s="1472" t="s">
        <v>2029</v>
      </c>
      <c r="D642" s="561"/>
      <c r="E642" s="561"/>
      <c r="F642" s="41"/>
      <c r="G642" s="1542"/>
    </row>
    <row r="643" ht="14.25" customHeight="1">
      <c r="A643" s="1421"/>
      <c r="B643" s="1418"/>
      <c r="C643" s="1473" t="s">
        <v>1467</v>
      </c>
      <c r="D643" s="561"/>
      <c r="E643" s="561"/>
      <c r="F643" s="41"/>
      <c r="G643" s="1541" t="str">
        <f>ROUNDUP(G631+G632,2)</f>
        <v>12.18</v>
      </c>
    </row>
    <row r="644" ht="14.25" customHeight="1">
      <c r="A644" s="1421"/>
      <c r="B644" s="1418"/>
      <c r="C644" s="1472" t="s">
        <v>2047</v>
      </c>
      <c r="D644" s="561"/>
      <c r="E644" s="561"/>
      <c r="F644" s="41"/>
      <c r="G644" s="1542"/>
    </row>
    <row r="645" ht="14.25" customHeight="1">
      <c r="A645" s="1213"/>
      <c r="B645" s="39"/>
      <c r="C645" s="1473" t="s">
        <v>1467</v>
      </c>
      <c r="D645" s="561"/>
      <c r="E645" s="561"/>
      <c r="F645" s="41"/>
      <c r="G645" s="1541" t="str">
        <f>ROUNDUP(G635+G636+G637,2)</f>
        <v>88.41</v>
      </c>
    </row>
    <row r="646" ht="14.25" customHeight="1">
      <c r="A646" s="1543" t="s">
        <v>1623</v>
      </c>
      <c r="B646" s="127"/>
      <c r="C646" s="127"/>
      <c r="D646" s="127"/>
      <c r="E646" s="127"/>
      <c r="F646" s="712"/>
      <c r="G646" s="1544" t="str">
        <f>ROUNDUP(G641+G643+G645,2)</f>
        <v>108.24</v>
      </c>
    </row>
    <row r="647" ht="14.25" customHeight="1">
      <c r="A647" s="1308"/>
      <c r="B647" s="1563"/>
      <c r="C647" s="1563"/>
      <c r="D647" s="1563"/>
      <c r="E647" s="1563"/>
      <c r="F647" s="1563"/>
      <c r="G647" s="1564"/>
    </row>
    <row r="648" ht="14.25" customHeight="1">
      <c r="A648" s="1199" t="s">
        <v>2117</v>
      </c>
      <c r="B648" s="1200" t="s">
        <v>2118</v>
      </c>
      <c r="C648" s="28"/>
      <c r="D648" s="28"/>
      <c r="E648" s="28"/>
      <c r="F648" s="28"/>
      <c r="G648" s="29"/>
    </row>
    <row r="649" ht="14.25" customHeight="1">
      <c r="A649" s="1207" t="s">
        <v>2119</v>
      </c>
      <c r="B649" s="107"/>
      <c r="C649" s="107"/>
      <c r="D649" s="107"/>
      <c r="E649" s="107"/>
      <c r="F649" s="107"/>
      <c r="G649" s="781"/>
    </row>
    <row r="650" ht="14.25" customHeight="1">
      <c r="A650" s="1208" t="s">
        <v>2120</v>
      </c>
      <c r="B650" s="561"/>
      <c r="C650" s="561"/>
      <c r="D650" s="561"/>
      <c r="E650" s="561"/>
      <c r="F650" s="561"/>
      <c r="G650" s="124"/>
    </row>
    <row r="651" ht="14.25" customHeight="1">
      <c r="A651" s="1470" t="s">
        <v>1967</v>
      </c>
      <c r="B651" s="41"/>
      <c r="C651" s="1427" t="s">
        <v>1585</v>
      </c>
      <c r="D651" s="1427" t="s">
        <v>1579</v>
      </c>
      <c r="E651" s="1429" t="s">
        <v>1580</v>
      </c>
      <c r="F651" s="561"/>
      <c r="G651" s="124"/>
    </row>
    <row r="652" ht="14.25" customHeight="1">
      <c r="A652" s="1294" t="s">
        <v>2121</v>
      </c>
      <c r="B652" s="41"/>
      <c r="C652" s="1296">
        <v>24.3</v>
      </c>
      <c r="D652" s="1307">
        <v>39.81</v>
      </c>
      <c r="E652" s="1254" t="s">
        <v>2122</v>
      </c>
      <c r="F652" s="854"/>
      <c r="G652" s="855"/>
    </row>
    <row r="653" ht="14.25" customHeight="1">
      <c r="A653" s="1294" t="s">
        <v>2123</v>
      </c>
      <c r="B653" s="41"/>
      <c r="C653" s="1296">
        <v>35.7</v>
      </c>
      <c r="D653" s="1307">
        <v>39.81</v>
      </c>
      <c r="E653" s="1258"/>
      <c r="G653" s="571"/>
    </row>
    <row r="654" ht="14.25" customHeight="1">
      <c r="A654" s="1294" t="s">
        <v>2124</v>
      </c>
      <c r="B654" s="41"/>
      <c r="C654" s="1296">
        <v>13.0</v>
      </c>
      <c r="D654" s="1307">
        <v>39.81</v>
      </c>
      <c r="E654" s="1258"/>
      <c r="G654" s="571"/>
    </row>
    <row r="655" ht="14.25" customHeight="1">
      <c r="A655" s="1294" t="s">
        <v>2125</v>
      </c>
      <c r="B655" s="41"/>
      <c r="C655" s="1296">
        <v>16.0</v>
      </c>
      <c r="D655" s="1307">
        <v>39.81</v>
      </c>
      <c r="E655" s="1258"/>
      <c r="G655" s="571"/>
    </row>
    <row r="656" ht="14.25" customHeight="1">
      <c r="A656" s="1294" t="s">
        <v>2126</v>
      </c>
      <c r="B656" s="41"/>
      <c r="C656" s="1296">
        <v>20.0</v>
      </c>
      <c r="D656" s="1307">
        <v>39.81</v>
      </c>
      <c r="E656" s="1258"/>
      <c r="G656" s="571"/>
    </row>
    <row r="657" ht="14.25" customHeight="1">
      <c r="A657" s="1294" t="s">
        <v>2127</v>
      </c>
      <c r="B657" s="41"/>
      <c r="C657" s="1296">
        <v>18.0</v>
      </c>
      <c r="D657" s="1307">
        <v>39.81</v>
      </c>
      <c r="E657" s="1258"/>
      <c r="G657" s="571"/>
    </row>
    <row r="658" ht="14.25" customHeight="1">
      <c r="A658" s="1294" t="s">
        <v>2128</v>
      </c>
      <c r="B658" s="41"/>
      <c r="C658" s="1296">
        <v>11.7</v>
      </c>
      <c r="D658" s="1307">
        <v>39.81</v>
      </c>
      <c r="E658" s="1258"/>
      <c r="G658" s="571"/>
    </row>
    <row r="659" ht="14.25" customHeight="1">
      <c r="A659" s="1294" t="s">
        <v>2129</v>
      </c>
      <c r="B659" s="41"/>
      <c r="C659" s="1296">
        <v>7.4</v>
      </c>
      <c r="D659" s="1307">
        <v>39.81</v>
      </c>
      <c r="E659" s="1258"/>
      <c r="G659" s="571"/>
    </row>
    <row r="660" ht="14.25" customHeight="1">
      <c r="A660" s="1294" t="s">
        <v>2130</v>
      </c>
      <c r="B660" s="41"/>
      <c r="C660" s="1296">
        <v>13.39</v>
      </c>
      <c r="D660" s="1307">
        <v>39.81</v>
      </c>
      <c r="E660" s="1258"/>
      <c r="G660" s="571"/>
    </row>
    <row r="661" ht="14.25" customHeight="1">
      <c r="A661" s="1294" t="s">
        <v>2131</v>
      </c>
      <c r="B661" s="41"/>
      <c r="C661" s="1296">
        <v>3.05</v>
      </c>
      <c r="D661" s="1307">
        <v>39.81</v>
      </c>
      <c r="E661" s="1258"/>
      <c r="G661" s="571"/>
    </row>
    <row r="662" ht="14.25" customHeight="1">
      <c r="A662" s="1294" t="s">
        <v>2132</v>
      </c>
      <c r="B662" s="41"/>
      <c r="C662" s="1296">
        <v>3.05</v>
      </c>
      <c r="D662" s="1307">
        <v>39.81</v>
      </c>
      <c r="E662" s="1258"/>
      <c r="G662" s="571"/>
    </row>
    <row r="663" ht="14.25" customHeight="1">
      <c r="A663" s="1294" t="s">
        <v>2133</v>
      </c>
      <c r="B663" s="41"/>
      <c r="C663" s="1296">
        <v>13.39</v>
      </c>
      <c r="D663" s="1307">
        <v>39.81</v>
      </c>
      <c r="E663" s="1258"/>
      <c r="G663" s="571"/>
    </row>
    <row r="664" ht="14.25" customHeight="1">
      <c r="A664" s="1516"/>
      <c r="B664" s="1517"/>
      <c r="C664" s="1518" t="s">
        <v>1467</v>
      </c>
      <c r="D664" s="1519" t="str">
        <f>SUM(D652:D663)</f>
        <v>477.72</v>
      </c>
      <c r="E664" s="1520"/>
      <c r="F664" s="21"/>
      <c r="G664" s="1521"/>
    </row>
    <row r="665" ht="14.25" customHeight="1">
      <c r="A665" s="1568"/>
      <c r="B665" s="1569"/>
      <c r="C665" s="1569"/>
      <c r="D665" s="1569"/>
      <c r="E665" s="1303"/>
      <c r="F665" s="1303"/>
      <c r="G665" s="1570"/>
    </row>
    <row r="666" ht="14.25" customHeight="1">
      <c r="A666" s="1199" t="s">
        <v>2134</v>
      </c>
      <c r="B666" s="1200" t="s">
        <v>2135</v>
      </c>
      <c r="C666" s="28"/>
      <c r="D666" s="28"/>
      <c r="E666" s="28"/>
      <c r="F666" s="28"/>
      <c r="G666" s="29"/>
    </row>
    <row r="667" ht="14.25" customHeight="1">
      <c r="A667" s="1207" t="s">
        <v>2119</v>
      </c>
      <c r="B667" s="107"/>
      <c r="C667" s="107"/>
      <c r="D667" s="107"/>
      <c r="E667" s="107"/>
      <c r="F667" s="107"/>
      <c r="G667" s="781"/>
    </row>
    <row r="668" ht="14.25" customHeight="1">
      <c r="A668" s="1208" t="s">
        <v>2120</v>
      </c>
      <c r="B668" s="561"/>
      <c r="C668" s="561"/>
      <c r="D668" s="561"/>
      <c r="E668" s="561"/>
      <c r="F668" s="561"/>
      <c r="G668" s="124"/>
    </row>
    <row r="669" ht="14.25" customHeight="1">
      <c r="A669" s="1470" t="s">
        <v>1967</v>
      </c>
      <c r="B669" s="41"/>
      <c r="C669" s="1427" t="s">
        <v>1585</v>
      </c>
      <c r="D669" s="1427" t="s">
        <v>1579</v>
      </c>
      <c r="E669" s="1429" t="s">
        <v>1580</v>
      </c>
      <c r="F669" s="561"/>
      <c r="G669" s="124"/>
    </row>
    <row r="670" ht="14.25" customHeight="1">
      <c r="A670" s="1294" t="s">
        <v>2121</v>
      </c>
      <c r="B670" s="41"/>
      <c r="C670" s="1296">
        <v>24.3</v>
      </c>
      <c r="D670" s="1307">
        <v>39.81</v>
      </c>
      <c r="E670" s="1254" t="s">
        <v>2122</v>
      </c>
      <c r="F670" s="854"/>
      <c r="G670" s="855"/>
    </row>
    <row r="671" ht="14.25" customHeight="1">
      <c r="A671" s="1294" t="s">
        <v>2123</v>
      </c>
      <c r="B671" s="41"/>
      <c r="C671" s="1296">
        <v>35.7</v>
      </c>
      <c r="D671" s="1307">
        <v>39.81</v>
      </c>
      <c r="E671" s="1258"/>
      <c r="G671" s="571"/>
    </row>
    <row r="672" ht="14.25" customHeight="1">
      <c r="A672" s="1294" t="s">
        <v>2124</v>
      </c>
      <c r="B672" s="41"/>
      <c r="C672" s="1296">
        <v>13.0</v>
      </c>
      <c r="D672" s="1307">
        <v>39.81</v>
      </c>
      <c r="E672" s="1258"/>
      <c r="G672" s="571"/>
    </row>
    <row r="673" ht="14.25" customHeight="1">
      <c r="A673" s="1294" t="s">
        <v>2125</v>
      </c>
      <c r="B673" s="41"/>
      <c r="C673" s="1296">
        <v>16.0</v>
      </c>
      <c r="D673" s="1307">
        <v>39.81</v>
      </c>
      <c r="E673" s="1258"/>
      <c r="G673" s="571"/>
    </row>
    <row r="674" ht="14.25" customHeight="1">
      <c r="A674" s="1294" t="s">
        <v>2126</v>
      </c>
      <c r="B674" s="41"/>
      <c r="C674" s="1296">
        <v>20.0</v>
      </c>
      <c r="D674" s="1307">
        <v>39.81</v>
      </c>
      <c r="E674" s="1258"/>
      <c r="G674" s="571"/>
    </row>
    <row r="675" ht="14.25" customHeight="1">
      <c r="A675" s="1294" t="s">
        <v>2127</v>
      </c>
      <c r="B675" s="41"/>
      <c r="C675" s="1296">
        <v>18.0</v>
      </c>
      <c r="D675" s="1307">
        <v>39.81</v>
      </c>
      <c r="E675" s="1258"/>
      <c r="G675" s="571"/>
    </row>
    <row r="676" ht="14.25" customHeight="1">
      <c r="A676" s="1294" t="s">
        <v>2128</v>
      </c>
      <c r="B676" s="41"/>
      <c r="C676" s="1296">
        <v>11.7</v>
      </c>
      <c r="D676" s="1307">
        <v>39.81</v>
      </c>
      <c r="E676" s="1258"/>
      <c r="G676" s="571"/>
    </row>
    <row r="677" ht="14.25" customHeight="1">
      <c r="A677" s="1294" t="s">
        <v>2129</v>
      </c>
      <c r="B677" s="41"/>
      <c r="C677" s="1296">
        <v>7.4</v>
      </c>
      <c r="D677" s="1307">
        <v>39.81</v>
      </c>
      <c r="E677" s="1258"/>
      <c r="G677" s="571"/>
    </row>
    <row r="678" ht="14.25" customHeight="1">
      <c r="A678" s="1294" t="s">
        <v>2130</v>
      </c>
      <c r="B678" s="41"/>
      <c r="C678" s="1296">
        <v>13.39</v>
      </c>
      <c r="D678" s="1307">
        <v>39.81</v>
      </c>
      <c r="E678" s="1258"/>
      <c r="G678" s="571"/>
    </row>
    <row r="679" ht="14.25" customHeight="1">
      <c r="A679" s="1294" t="s">
        <v>2131</v>
      </c>
      <c r="B679" s="41"/>
      <c r="C679" s="1296">
        <v>3.05</v>
      </c>
      <c r="D679" s="1307">
        <v>39.81</v>
      </c>
      <c r="E679" s="1258"/>
      <c r="G679" s="571"/>
    </row>
    <row r="680" ht="14.25" customHeight="1">
      <c r="A680" s="1294" t="s">
        <v>2132</v>
      </c>
      <c r="B680" s="41"/>
      <c r="C680" s="1296">
        <v>3.05</v>
      </c>
      <c r="D680" s="1307">
        <v>39.81</v>
      </c>
      <c r="E680" s="1258"/>
      <c r="G680" s="571"/>
    </row>
    <row r="681" ht="14.25" customHeight="1">
      <c r="A681" s="1294" t="s">
        <v>2133</v>
      </c>
      <c r="B681" s="41"/>
      <c r="C681" s="1296">
        <v>13.39</v>
      </c>
      <c r="D681" s="1307">
        <v>39.81</v>
      </c>
      <c r="E681" s="1258"/>
      <c r="G681" s="571"/>
    </row>
    <row r="682" ht="14.25" customHeight="1">
      <c r="A682" s="1516"/>
      <c r="B682" s="1517"/>
      <c r="C682" s="1518" t="s">
        <v>1467</v>
      </c>
      <c r="D682" s="1519" t="str">
        <f>SUM(D670:D681)</f>
        <v>477.72</v>
      </c>
      <c r="E682" s="1520"/>
      <c r="F682" s="21"/>
      <c r="G682" s="1521"/>
    </row>
    <row r="683" ht="14.25" customHeight="1">
      <c r="A683" s="1571"/>
      <c r="B683" s="1572"/>
      <c r="C683" s="1572"/>
      <c r="D683" s="1572"/>
      <c r="E683" s="1572"/>
      <c r="F683" s="1572"/>
      <c r="G683" s="1573"/>
    </row>
    <row r="684" ht="14.25" customHeight="1">
      <c r="A684" s="1199">
        <v>10.0</v>
      </c>
      <c r="B684" s="1200" t="s">
        <v>2136</v>
      </c>
      <c r="C684" s="28"/>
      <c r="D684" s="28"/>
      <c r="E684" s="28"/>
      <c r="F684" s="28"/>
      <c r="G684" s="29"/>
    </row>
    <row r="685" ht="14.25" customHeight="1">
      <c r="A685" s="1199" t="s">
        <v>331</v>
      </c>
      <c r="B685" s="1200" t="s">
        <v>2137</v>
      </c>
      <c r="C685" s="28"/>
      <c r="D685" s="28"/>
      <c r="E685" s="28"/>
      <c r="F685" s="28"/>
      <c r="G685" s="29"/>
    </row>
    <row r="686" ht="14.25" customHeight="1">
      <c r="A686" s="1281" t="s">
        <v>2138</v>
      </c>
      <c r="B686" s="1259"/>
      <c r="C686" s="1259"/>
      <c r="D686" s="1259"/>
      <c r="E686" s="1259"/>
      <c r="F686" s="1259"/>
      <c r="G686" s="1260"/>
    </row>
    <row r="687" ht="14.25" customHeight="1">
      <c r="A687" s="1208" t="s">
        <v>2120</v>
      </c>
      <c r="B687" s="561"/>
      <c r="C687" s="561"/>
      <c r="D687" s="561"/>
      <c r="E687" s="561"/>
      <c r="F687" s="561"/>
      <c r="G687" s="124"/>
    </row>
    <row r="688" ht="14.25" customHeight="1">
      <c r="A688" s="1470" t="s">
        <v>1967</v>
      </c>
      <c r="B688" s="41"/>
      <c r="C688" s="1427" t="s">
        <v>1579</v>
      </c>
      <c r="D688" s="1427" t="s">
        <v>2139</v>
      </c>
      <c r="E688" s="1429" t="s">
        <v>1580</v>
      </c>
      <c r="F688" s="561"/>
      <c r="G688" s="124"/>
    </row>
    <row r="689" ht="14.25" customHeight="1">
      <c r="A689" s="1294" t="s">
        <v>2140</v>
      </c>
      <c r="B689" s="41"/>
      <c r="C689" s="1466" t="s">
        <v>2141</v>
      </c>
      <c r="D689" s="1214" t="str">
        <f>3.18+2.78+2.78</f>
        <v>8.74</v>
      </c>
      <c r="E689" s="1252" t="s">
        <v>2142</v>
      </c>
      <c r="F689" s="561"/>
      <c r="G689" s="124"/>
    </row>
    <row r="690" ht="14.25" customHeight="1">
      <c r="A690" s="1294" t="s">
        <v>2143</v>
      </c>
      <c r="B690" s="41"/>
      <c r="C690" s="1466" t="s">
        <v>2144</v>
      </c>
      <c r="D690" s="1214" t="str">
        <f>7.7+7.68+7.68</f>
        <v>23.06</v>
      </c>
      <c r="E690" s="1252" t="s">
        <v>2145</v>
      </c>
      <c r="F690" s="561"/>
      <c r="G690" s="124"/>
    </row>
    <row r="691" ht="14.25" customHeight="1">
      <c r="A691" s="1294" t="s">
        <v>2146</v>
      </c>
      <c r="B691" s="41"/>
      <c r="C691" s="1466" t="s">
        <v>2147</v>
      </c>
      <c r="D691" s="1214" t="str">
        <f>34.87+72.37+10.55+16+19.64+20+30.21+10.61</f>
        <v>214.25</v>
      </c>
      <c r="E691" s="1252" t="s">
        <v>2148</v>
      </c>
      <c r="F691" s="561"/>
      <c r="G691" s="124"/>
    </row>
    <row r="692" ht="14.25" customHeight="1">
      <c r="A692" s="1294" t="s">
        <v>2149</v>
      </c>
      <c r="B692" s="41"/>
      <c r="C692" s="1295" t="s">
        <v>2150</v>
      </c>
      <c r="D692" s="1296" t="str">
        <f>66.73+13.7+31.95+4.46+68.14+108.42</f>
        <v>293.40</v>
      </c>
      <c r="E692" s="1252" t="s">
        <v>2151</v>
      </c>
      <c r="F692" s="561"/>
      <c r="G692" s="124"/>
    </row>
    <row r="693" ht="14.25" customHeight="1">
      <c r="A693" s="1536"/>
      <c r="B693" s="41"/>
      <c r="C693" s="1296"/>
      <c r="D693" s="1296"/>
      <c r="E693" s="1309"/>
      <c r="F693" s="561"/>
      <c r="G693" s="124"/>
    </row>
    <row r="694" ht="14.25" customHeight="1">
      <c r="A694" s="1324" t="s">
        <v>2152</v>
      </c>
      <c r="B694" s="127"/>
      <c r="C694" s="712"/>
      <c r="D694" s="1325" t="str">
        <f>SUM(D689:D693)</f>
        <v>539.45</v>
      </c>
      <c r="E694" s="1574"/>
      <c r="F694" s="127"/>
      <c r="G694" s="128"/>
    </row>
    <row r="695" ht="14.25" customHeight="1">
      <c r="A695" s="1522"/>
      <c r="B695" s="1507"/>
      <c r="C695" s="1507"/>
      <c r="D695" s="1453"/>
      <c r="E695" s="1506"/>
      <c r="F695" s="1506"/>
      <c r="G695" s="1575"/>
    </row>
    <row r="696" ht="14.25" customHeight="1">
      <c r="A696" s="1199" t="s">
        <v>345</v>
      </c>
      <c r="B696" s="1200" t="s">
        <v>2153</v>
      </c>
      <c r="C696" s="28"/>
      <c r="D696" s="28"/>
      <c r="E696" s="28"/>
      <c r="F696" s="28"/>
      <c r="G696" s="29"/>
    </row>
    <row r="697" ht="14.25" customHeight="1">
      <c r="A697" s="1281" t="s">
        <v>2138</v>
      </c>
      <c r="B697" s="1259"/>
      <c r="C697" s="1259"/>
      <c r="D697" s="1259"/>
      <c r="E697" s="1259"/>
      <c r="F697" s="1259"/>
      <c r="G697" s="1260"/>
    </row>
    <row r="698" ht="14.25" customHeight="1">
      <c r="A698" s="1208" t="s">
        <v>2120</v>
      </c>
      <c r="B698" s="561"/>
      <c r="C698" s="561"/>
      <c r="D698" s="561"/>
      <c r="E698" s="561"/>
      <c r="F698" s="561"/>
      <c r="G698" s="124"/>
    </row>
    <row r="699" ht="14.25" customHeight="1">
      <c r="A699" s="1470" t="s">
        <v>1967</v>
      </c>
      <c r="B699" s="41"/>
      <c r="C699" s="1427" t="s">
        <v>1579</v>
      </c>
      <c r="D699" s="1427" t="s">
        <v>2139</v>
      </c>
      <c r="E699" s="1429" t="s">
        <v>1580</v>
      </c>
      <c r="F699" s="561"/>
      <c r="G699" s="124"/>
    </row>
    <row r="700" ht="14.25" customHeight="1">
      <c r="A700" s="1294" t="s">
        <v>2140</v>
      </c>
      <c r="B700" s="41"/>
      <c r="C700" s="1466" t="s">
        <v>2141</v>
      </c>
      <c r="D700" s="1214" t="str">
        <f>3.18+2.78+2.78</f>
        <v>8.74</v>
      </c>
      <c r="E700" s="1252" t="s">
        <v>2142</v>
      </c>
      <c r="F700" s="561"/>
      <c r="G700" s="124"/>
    </row>
    <row r="701" ht="14.25" customHeight="1">
      <c r="A701" s="1294" t="s">
        <v>2143</v>
      </c>
      <c r="B701" s="41"/>
      <c r="C701" s="1466" t="s">
        <v>2144</v>
      </c>
      <c r="D701" s="1214" t="str">
        <f>7.7+7.68+7.68</f>
        <v>23.06</v>
      </c>
      <c r="E701" s="1252" t="s">
        <v>2145</v>
      </c>
      <c r="F701" s="561"/>
      <c r="G701" s="124"/>
    </row>
    <row r="702" ht="14.25" customHeight="1">
      <c r="A702" s="1294" t="s">
        <v>2146</v>
      </c>
      <c r="B702" s="41"/>
      <c r="C702" s="1466" t="s">
        <v>2147</v>
      </c>
      <c r="D702" s="1214" t="str">
        <f>34.87+72.37+10.55+16+19.64+20+30.21+10.61</f>
        <v>214.25</v>
      </c>
      <c r="E702" s="1252" t="s">
        <v>2148</v>
      </c>
      <c r="F702" s="561"/>
      <c r="G702" s="124"/>
    </row>
    <row r="703" ht="14.25" customHeight="1">
      <c r="A703" s="1294" t="s">
        <v>2154</v>
      </c>
      <c r="B703" s="41"/>
      <c r="C703" s="1295" t="s">
        <v>2155</v>
      </c>
      <c r="D703" s="1296" t="str">
        <f>66.73+13.7+31.95+4.46</f>
        <v>116.84</v>
      </c>
      <c r="E703" s="1252" t="s">
        <v>2151</v>
      </c>
      <c r="F703" s="561"/>
      <c r="G703" s="124"/>
    </row>
    <row r="704" ht="14.25" customHeight="1">
      <c r="A704" s="1324" t="s">
        <v>2152</v>
      </c>
      <c r="B704" s="127"/>
      <c r="C704" s="712"/>
      <c r="D704" s="1325" t="str">
        <f>SUM(D700:D703)</f>
        <v>362.89</v>
      </c>
      <c r="E704" s="1574"/>
      <c r="F704" s="127"/>
      <c r="G704" s="128"/>
    </row>
    <row r="705" ht="14.25" customHeight="1">
      <c r="A705" s="1308"/>
      <c r="B705" s="28"/>
      <c r="C705" s="28"/>
      <c r="D705" s="28"/>
      <c r="E705" s="28"/>
      <c r="F705" s="28"/>
      <c r="G705" s="29"/>
    </row>
    <row r="706" ht="14.25" customHeight="1">
      <c r="A706" s="1199" t="s">
        <v>2156</v>
      </c>
      <c r="B706" s="1200" t="s">
        <v>2157</v>
      </c>
      <c r="C706" s="28"/>
      <c r="D706" s="28"/>
      <c r="E706" s="28"/>
      <c r="F706" s="28"/>
      <c r="G706" s="29"/>
    </row>
    <row r="707" ht="14.25" customHeight="1">
      <c r="A707" s="1281" t="s">
        <v>2138</v>
      </c>
      <c r="B707" s="1259"/>
      <c r="C707" s="1259"/>
      <c r="D707" s="1259"/>
      <c r="E707" s="1259"/>
      <c r="F707" s="1259"/>
      <c r="G707" s="1260"/>
    </row>
    <row r="708" ht="14.25" customHeight="1">
      <c r="A708" s="1208" t="s">
        <v>2120</v>
      </c>
      <c r="B708" s="561"/>
      <c r="C708" s="561"/>
      <c r="D708" s="561"/>
      <c r="E708" s="561"/>
      <c r="F708" s="561"/>
      <c r="G708" s="124"/>
    </row>
    <row r="709" ht="14.25" customHeight="1">
      <c r="A709" s="1470" t="s">
        <v>1967</v>
      </c>
      <c r="B709" s="41"/>
      <c r="C709" s="1427" t="s">
        <v>1579</v>
      </c>
      <c r="D709" s="1427" t="s">
        <v>2139</v>
      </c>
      <c r="E709" s="1429" t="s">
        <v>1580</v>
      </c>
      <c r="F709" s="561"/>
      <c r="G709" s="124"/>
    </row>
    <row r="710" ht="14.25" customHeight="1">
      <c r="A710" s="1294" t="s">
        <v>2158</v>
      </c>
      <c r="B710" s="41"/>
      <c r="C710" s="1466" t="s">
        <v>2159</v>
      </c>
      <c r="D710" s="1214" t="str">
        <f>68.14+108.42</f>
        <v>176.56</v>
      </c>
      <c r="E710" s="1309"/>
      <c r="F710" s="561"/>
      <c r="G710" s="124"/>
    </row>
    <row r="711" ht="14.25" customHeight="1">
      <c r="A711" s="1324" t="s">
        <v>2152</v>
      </c>
      <c r="B711" s="127"/>
      <c r="C711" s="712"/>
      <c r="D711" s="1325" t="str">
        <f>SUM(D707:D710)</f>
        <v>176.56</v>
      </c>
      <c r="E711" s="1574"/>
      <c r="F711" s="127"/>
      <c r="G711" s="128"/>
    </row>
    <row r="712" ht="14.25" customHeight="1">
      <c r="A712" s="1308"/>
      <c r="B712" s="1563"/>
      <c r="C712" s="1563"/>
      <c r="D712" s="1563"/>
      <c r="E712" s="1563"/>
      <c r="F712" s="1563"/>
      <c r="G712" s="1564"/>
    </row>
    <row r="713" ht="14.25" customHeight="1">
      <c r="A713" s="1199" t="s">
        <v>2160</v>
      </c>
      <c r="B713" s="1200" t="s">
        <v>2161</v>
      </c>
      <c r="C713" s="28"/>
      <c r="D713" s="28"/>
      <c r="E713" s="28"/>
      <c r="F713" s="28"/>
      <c r="G713" s="29"/>
    </row>
    <row r="714" ht="14.25" customHeight="1">
      <c r="A714" s="1281" t="s">
        <v>2138</v>
      </c>
      <c r="B714" s="1259"/>
      <c r="C714" s="1259"/>
      <c r="D714" s="1259"/>
      <c r="E714" s="1259"/>
      <c r="F714" s="1259"/>
      <c r="G714" s="1260"/>
    </row>
    <row r="715" ht="14.25" customHeight="1">
      <c r="A715" s="1208" t="s">
        <v>2120</v>
      </c>
      <c r="B715" s="561"/>
      <c r="C715" s="561"/>
      <c r="D715" s="561"/>
      <c r="E715" s="561"/>
      <c r="F715" s="561"/>
      <c r="G715" s="124"/>
    </row>
    <row r="716" ht="14.25" customHeight="1">
      <c r="A716" s="1470" t="s">
        <v>1967</v>
      </c>
      <c r="B716" s="41"/>
      <c r="C716" s="1427" t="s">
        <v>1579</v>
      </c>
      <c r="D716" s="1427" t="s">
        <v>2139</v>
      </c>
      <c r="E716" s="1429" t="s">
        <v>1580</v>
      </c>
      <c r="F716" s="561"/>
      <c r="G716" s="124"/>
    </row>
    <row r="717" ht="14.25" customHeight="1">
      <c r="A717" s="1294" t="s">
        <v>2140</v>
      </c>
      <c r="B717" s="41"/>
      <c r="C717" s="1466" t="s">
        <v>2141</v>
      </c>
      <c r="D717" s="1214" t="str">
        <f>3.18+2.78+2.78</f>
        <v>8.74</v>
      </c>
      <c r="E717" s="1252" t="s">
        <v>2142</v>
      </c>
      <c r="F717" s="561"/>
      <c r="G717" s="124"/>
    </row>
    <row r="718" ht="14.25" customHeight="1">
      <c r="A718" s="1294" t="s">
        <v>2143</v>
      </c>
      <c r="B718" s="41"/>
      <c r="C718" s="1466" t="s">
        <v>2144</v>
      </c>
      <c r="D718" s="1214" t="str">
        <f>7.7+7.68+7.68</f>
        <v>23.06</v>
      </c>
      <c r="E718" s="1252" t="s">
        <v>2145</v>
      </c>
      <c r="F718" s="561"/>
      <c r="G718" s="124"/>
    </row>
    <row r="719" ht="14.25" customHeight="1">
      <c r="A719" s="1294" t="s">
        <v>2146</v>
      </c>
      <c r="B719" s="41"/>
      <c r="C719" s="1466" t="s">
        <v>2147</v>
      </c>
      <c r="D719" s="1214" t="str">
        <f>34.87+72.37+10.55+16+19.64+20+30.21+10.61</f>
        <v>214.25</v>
      </c>
      <c r="E719" s="1252" t="s">
        <v>2148</v>
      </c>
      <c r="F719" s="561"/>
      <c r="G719" s="124"/>
    </row>
    <row r="720" ht="14.25" customHeight="1">
      <c r="A720" s="1324" t="s">
        <v>2152</v>
      </c>
      <c r="B720" s="127"/>
      <c r="C720" s="712"/>
      <c r="D720" s="1325" t="str">
        <f>SUM(D717:D719)</f>
        <v>246.05</v>
      </c>
      <c r="E720" s="1574"/>
      <c r="F720" s="127"/>
      <c r="G720" s="128"/>
    </row>
    <row r="721" ht="14.25" customHeight="1">
      <c r="A721" s="1279"/>
      <c r="B721" s="1481"/>
      <c r="C721" s="1481"/>
      <c r="D721" s="1481"/>
      <c r="E721" s="1482"/>
      <c r="F721" s="1482"/>
      <c r="G721" s="1576"/>
    </row>
    <row r="722" ht="14.25" customHeight="1">
      <c r="A722" s="1199" t="s">
        <v>2162</v>
      </c>
      <c r="B722" s="1200" t="s">
        <v>2163</v>
      </c>
      <c r="C722" s="28"/>
      <c r="D722" s="28"/>
      <c r="E722" s="28"/>
      <c r="F722" s="28"/>
      <c r="G722" s="29"/>
    </row>
    <row r="723" ht="14.25" customHeight="1">
      <c r="A723" s="1281" t="s">
        <v>2138</v>
      </c>
      <c r="B723" s="1259"/>
      <c r="C723" s="1259"/>
      <c r="D723" s="1259"/>
      <c r="E723" s="1259"/>
      <c r="F723" s="1259"/>
      <c r="G723" s="1260"/>
    </row>
    <row r="724" ht="14.25" customHeight="1">
      <c r="A724" s="1208" t="s">
        <v>2120</v>
      </c>
      <c r="B724" s="561"/>
      <c r="C724" s="561"/>
      <c r="D724" s="561"/>
      <c r="E724" s="561"/>
      <c r="F724" s="561"/>
      <c r="G724" s="124"/>
    </row>
    <row r="725" ht="14.25" customHeight="1">
      <c r="A725" s="1470" t="s">
        <v>1967</v>
      </c>
      <c r="B725" s="41"/>
      <c r="C725" s="1427" t="s">
        <v>1579</v>
      </c>
      <c r="D725" s="1427" t="s">
        <v>2139</v>
      </c>
      <c r="E725" s="1429" t="s">
        <v>1580</v>
      </c>
      <c r="F725" s="561"/>
      <c r="G725" s="124"/>
    </row>
    <row r="726" ht="14.25" customHeight="1">
      <c r="A726" s="1294" t="s">
        <v>2140</v>
      </c>
      <c r="B726" s="41"/>
      <c r="C726" s="1466" t="s">
        <v>2141</v>
      </c>
      <c r="D726" s="1214" t="str">
        <f>3.18+2.78+2.78</f>
        <v>8.74</v>
      </c>
      <c r="E726" s="1252" t="s">
        <v>2142</v>
      </c>
      <c r="F726" s="561"/>
      <c r="G726" s="124"/>
    </row>
    <row r="727" ht="14.25" customHeight="1">
      <c r="A727" s="1294" t="s">
        <v>2143</v>
      </c>
      <c r="B727" s="41"/>
      <c r="C727" s="1466" t="s">
        <v>2144</v>
      </c>
      <c r="D727" s="1214" t="str">
        <f>7.7+7.68+7.68</f>
        <v>23.06</v>
      </c>
      <c r="E727" s="1252" t="s">
        <v>2145</v>
      </c>
      <c r="F727" s="561"/>
      <c r="G727" s="124"/>
    </row>
    <row r="728" ht="14.25" customHeight="1">
      <c r="A728" s="1294" t="s">
        <v>2146</v>
      </c>
      <c r="B728" s="41"/>
      <c r="C728" s="1466" t="s">
        <v>2147</v>
      </c>
      <c r="D728" s="1214" t="str">
        <f>34.87+72.37+10.55+16+19.64+20+30.21+10.61</f>
        <v>214.25</v>
      </c>
      <c r="E728" s="1252" t="s">
        <v>2148</v>
      </c>
      <c r="F728" s="561"/>
      <c r="G728" s="124"/>
    </row>
    <row r="729" ht="14.25" customHeight="1">
      <c r="A729" s="1324" t="s">
        <v>2152</v>
      </c>
      <c r="B729" s="127"/>
      <c r="C729" s="712"/>
      <c r="D729" s="1325" t="str">
        <f>SUM(D726:D728)</f>
        <v>246.05</v>
      </c>
      <c r="E729" s="1574"/>
      <c r="F729" s="127"/>
      <c r="G729" s="128"/>
    </row>
    <row r="730" ht="14.25" customHeight="1">
      <c r="A730" s="1312"/>
      <c r="B730" s="1482"/>
      <c r="C730" s="1482"/>
      <c r="D730" s="1289"/>
      <c r="E730" s="1288"/>
      <c r="F730" s="1288"/>
      <c r="G730" s="1577"/>
    </row>
    <row r="731" ht="14.25" customHeight="1">
      <c r="A731" s="1199" t="s">
        <v>2164</v>
      </c>
      <c r="B731" s="1200" t="s">
        <v>2165</v>
      </c>
      <c r="C731" s="28"/>
      <c r="D731" s="28"/>
      <c r="E731" s="28"/>
      <c r="F731" s="28"/>
      <c r="G731" s="29"/>
    </row>
    <row r="732" ht="14.25" customHeight="1">
      <c r="A732" s="1281" t="s">
        <v>2166</v>
      </c>
      <c r="B732" s="1259"/>
      <c r="C732" s="1259"/>
      <c r="D732" s="1259"/>
      <c r="E732" s="1259"/>
      <c r="F732" s="1259"/>
      <c r="G732" s="1260"/>
    </row>
    <row r="733" ht="14.25" customHeight="1">
      <c r="A733" s="1208" t="s">
        <v>2167</v>
      </c>
      <c r="B733" s="561"/>
      <c r="C733" s="561"/>
      <c r="D733" s="561"/>
      <c r="E733" s="561"/>
      <c r="F733" s="561"/>
      <c r="G733" s="124"/>
    </row>
    <row r="734" ht="14.25" customHeight="1">
      <c r="A734" s="1470" t="s">
        <v>1967</v>
      </c>
      <c r="B734" s="41"/>
      <c r="C734" s="1427" t="s">
        <v>2168</v>
      </c>
      <c r="D734" s="1427" t="s">
        <v>2169</v>
      </c>
      <c r="E734" s="1427" t="s">
        <v>1638</v>
      </c>
      <c r="F734" s="1429" t="s">
        <v>1580</v>
      </c>
      <c r="G734" s="124"/>
    </row>
    <row r="735" ht="14.25" customHeight="1">
      <c r="A735" s="1515" t="s">
        <v>2170</v>
      </c>
      <c r="B735" s="1210"/>
      <c r="C735" s="1296" t="s">
        <v>2171</v>
      </c>
      <c r="D735" s="1295" t="s">
        <v>2172</v>
      </c>
      <c r="E735" s="1296" t="str">
        <f>(15.7+19.2+15.2+12.2+33.6+22.7+13.3)*0.15</f>
        <v>19.79</v>
      </c>
      <c r="F735" s="1307"/>
      <c r="G735" s="855"/>
    </row>
    <row r="736" ht="14.25" customHeight="1">
      <c r="A736" s="1421"/>
      <c r="B736" s="1418"/>
      <c r="C736" s="37"/>
      <c r="D736" s="37"/>
      <c r="E736" s="37"/>
      <c r="F736" s="1258"/>
      <c r="G736" s="571"/>
    </row>
    <row r="737" ht="14.25" customHeight="1">
      <c r="A737" s="1213"/>
      <c r="B737" s="39"/>
      <c r="C737" s="1488"/>
      <c r="D737" s="1488"/>
      <c r="E737" s="1488"/>
      <c r="F737" s="38"/>
      <c r="G737" s="1260"/>
    </row>
    <row r="738" ht="14.25" customHeight="1">
      <c r="A738" s="1324" t="s">
        <v>2152</v>
      </c>
      <c r="B738" s="127"/>
      <c r="C738" s="712"/>
      <c r="D738" s="1325" t="str">
        <f>E735</f>
        <v>19.79</v>
      </c>
      <c r="E738" s="1533"/>
      <c r="F738" s="1342"/>
      <c r="G738" s="1534"/>
    </row>
    <row r="739" ht="14.25" customHeight="1">
      <c r="A739" s="1312"/>
      <c r="B739" s="1482"/>
      <c r="C739" s="1482"/>
      <c r="D739" s="1289"/>
      <c r="E739" s="1288"/>
      <c r="F739" s="1288"/>
      <c r="G739" s="1577"/>
    </row>
    <row r="740" ht="14.25" customHeight="1">
      <c r="A740" s="1199">
        <v>11.0</v>
      </c>
      <c r="B740" s="1200" t="s">
        <v>2173</v>
      </c>
      <c r="C740" s="28"/>
      <c r="D740" s="28"/>
      <c r="E740" s="28"/>
      <c r="F740" s="28"/>
      <c r="G740" s="29"/>
    </row>
    <row r="741" ht="14.25" customHeight="1">
      <c r="A741" s="1199" t="s">
        <v>352</v>
      </c>
      <c r="B741" s="1200" t="s">
        <v>2174</v>
      </c>
      <c r="C741" s="28"/>
      <c r="D741" s="28"/>
      <c r="E741" s="28"/>
      <c r="F741" s="28"/>
      <c r="G741" s="29"/>
    </row>
    <row r="742" ht="14.25" customHeight="1">
      <c r="A742" s="1223" t="s">
        <v>1577</v>
      </c>
      <c r="B742" s="561"/>
      <c r="C742" s="561"/>
      <c r="D742" s="561"/>
      <c r="E742" s="561"/>
      <c r="F742" s="561"/>
      <c r="G742" s="124"/>
    </row>
    <row r="743" ht="14.25" customHeight="1">
      <c r="A743" s="1208" t="s">
        <v>2175</v>
      </c>
      <c r="B743" s="561"/>
      <c r="C743" s="561"/>
      <c r="D743" s="561"/>
      <c r="E743" s="561"/>
      <c r="F743" s="561"/>
      <c r="G743" s="124"/>
    </row>
    <row r="744" ht="14.25" customHeight="1">
      <c r="A744" s="1426" t="s">
        <v>2006</v>
      </c>
      <c r="B744" s="1427" t="s">
        <v>1585</v>
      </c>
      <c r="C744" s="1427" t="s">
        <v>1899</v>
      </c>
      <c r="D744" s="1427" t="s">
        <v>1620</v>
      </c>
      <c r="E744" s="1427" t="s">
        <v>1900</v>
      </c>
      <c r="F744" s="1427" t="s">
        <v>1901</v>
      </c>
      <c r="G744" s="1463" t="s">
        <v>1902</v>
      </c>
    </row>
    <row r="745" ht="14.25" customHeight="1">
      <c r="A745" s="1251" t="s">
        <v>2176</v>
      </c>
      <c r="B745" s="1466" t="s">
        <v>2177</v>
      </c>
      <c r="C745" s="1214">
        <v>1.8</v>
      </c>
      <c r="D745" s="1214" t="str">
        <f t="shared" ref="D745:D746" si="75">ROUNDUP((((1.85+1.51)*1.8)),2)</f>
        <v>6.05</v>
      </c>
      <c r="E745" s="1466" t="s">
        <v>2178</v>
      </c>
      <c r="F745" s="1214" t="str">
        <f t="shared" ref="F745:F746" si="76">(0.8*1.6*2)+(0.16*2)</f>
        <v>2.88</v>
      </c>
      <c r="G745" s="1467" t="str">
        <f t="shared" ref="G745:G746" si="77">ROUNDUP(D745-F745,2)</f>
        <v>3.17</v>
      </c>
    </row>
    <row r="746" ht="14.25" customHeight="1">
      <c r="A746" s="1251" t="s">
        <v>2179</v>
      </c>
      <c r="B746" s="1466" t="s">
        <v>2180</v>
      </c>
      <c r="C746" s="1214">
        <v>2.8</v>
      </c>
      <c r="D746" s="1214" t="str">
        <f t="shared" si="75"/>
        <v>6.05</v>
      </c>
      <c r="E746" s="1466" t="s">
        <v>2178</v>
      </c>
      <c r="F746" s="1214" t="str">
        <f t="shared" si="76"/>
        <v>2.88</v>
      </c>
      <c r="G746" s="1467" t="str">
        <f t="shared" si="77"/>
        <v>3.17</v>
      </c>
    </row>
    <row r="747" ht="14.25" customHeight="1">
      <c r="A747" s="1430" t="s">
        <v>1467</v>
      </c>
      <c r="B747" s="127"/>
      <c r="C747" s="127"/>
      <c r="D747" s="127"/>
      <c r="E747" s="127"/>
      <c r="F747" s="712"/>
      <c r="G747" s="1544" t="str">
        <f>ROUNDUP(G745+G746,2)</f>
        <v>6.34</v>
      </c>
    </row>
    <row r="748" ht="14.25" customHeight="1">
      <c r="A748" s="1287"/>
      <c r="B748" s="1288"/>
      <c r="C748" s="1289"/>
      <c r="D748" s="1289"/>
      <c r="E748" s="1289"/>
      <c r="F748" s="1289"/>
      <c r="G748" s="1290"/>
    </row>
    <row r="749" ht="14.25" customHeight="1">
      <c r="A749" s="1199">
        <v>12.0</v>
      </c>
      <c r="B749" s="1200" t="s">
        <v>2181</v>
      </c>
      <c r="C749" s="28"/>
      <c r="D749" s="28"/>
      <c r="E749" s="28"/>
      <c r="F749" s="28"/>
      <c r="G749" s="29"/>
    </row>
    <row r="750" ht="14.25" customHeight="1">
      <c r="A750" s="1199" t="s">
        <v>551</v>
      </c>
      <c r="B750" s="1200" t="s">
        <v>2182</v>
      </c>
      <c r="C750" s="28"/>
      <c r="D750" s="28"/>
      <c r="E750" s="28"/>
      <c r="F750" s="28"/>
      <c r="G750" s="29"/>
    </row>
    <row r="751" ht="14.25" customHeight="1">
      <c r="A751" s="1281" t="s">
        <v>1577</v>
      </c>
      <c r="B751" s="1259"/>
      <c r="C751" s="1259"/>
      <c r="D751" s="1259"/>
      <c r="E751" s="1259"/>
      <c r="F751" s="1259"/>
      <c r="G751" s="1260"/>
    </row>
    <row r="752" ht="14.25" customHeight="1">
      <c r="A752" s="1208" t="s">
        <v>2183</v>
      </c>
      <c r="B752" s="561"/>
      <c r="C752" s="561"/>
      <c r="D752" s="561"/>
      <c r="E752" s="561"/>
      <c r="F752" s="561"/>
      <c r="G752" s="124"/>
    </row>
    <row r="753" ht="14.25" customHeight="1">
      <c r="A753" s="1426" t="s">
        <v>2006</v>
      </c>
      <c r="B753" s="1427" t="s">
        <v>2184</v>
      </c>
      <c r="C753" s="1427" t="s">
        <v>2185</v>
      </c>
      <c r="D753" s="1427" t="s">
        <v>2186</v>
      </c>
      <c r="E753" s="1427" t="s">
        <v>2187</v>
      </c>
      <c r="F753" s="1429" t="s">
        <v>1638</v>
      </c>
      <c r="G753" s="124"/>
    </row>
    <row r="754" ht="14.25" customHeight="1">
      <c r="A754" s="1282" t="s">
        <v>2128</v>
      </c>
      <c r="B754" s="1498" t="s">
        <v>2188</v>
      </c>
      <c r="C754" s="1230" t="s">
        <v>2189</v>
      </c>
      <c r="D754" s="1214" t="str">
        <f>(0.1*(2+0.6+0.6))</f>
        <v>0.32</v>
      </c>
      <c r="E754" s="1214" t="str">
        <f>ROUNDUP((0.6*2),2)</f>
        <v>1.20</v>
      </c>
      <c r="F754" s="1578" t="str">
        <f>D754+E754</f>
        <v>1.52</v>
      </c>
      <c r="G754" s="124"/>
    </row>
    <row r="755" ht="14.25" customHeight="1">
      <c r="A755" s="1430" t="s">
        <v>1467</v>
      </c>
      <c r="B755" s="127"/>
      <c r="C755" s="127"/>
      <c r="D755" s="127"/>
      <c r="E755" s="712"/>
      <c r="F755" s="1579" t="str">
        <f>SUM(F754)</f>
        <v>1.52</v>
      </c>
      <c r="G755" s="128"/>
    </row>
    <row r="756" ht="14.25" customHeight="1">
      <c r="A756" s="1287"/>
      <c r="B756" s="1288"/>
      <c r="C756" s="1289"/>
      <c r="D756" s="1289"/>
      <c r="E756" s="1289"/>
      <c r="F756" s="1289"/>
      <c r="G756" s="1290"/>
    </row>
    <row r="757" ht="14.25" customHeight="1">
      <c r="A757" s="1199" t="s">
        <v>554</v>
      </c>
      <c r="B757" s="1200" t="s">
        <v>2190</v>
      </c>
      <c r="C757" s="28"/>
      <c r="D757" s="28"/>
      <c r="E757" s="28"/>
      <c r="F757" s="28"/>
      <c r="G757" s="29"/>
    </row>
    <row r="758" ht="14.25" customHeight="1">
      <c r="A758" s="1281" t="s">
        <v>1577</v>
      </c>
      <c r="B758" s="1259"/>
      <c r="C758" s="1259"/>
      <c r="D758" s="1259"/>
      <c r="E758" s="1259"/>
      <c r="F758" s="1259"/>
      <c r="G758" s="1260"/>
    </row>
    <row r="759" ht="14.25" customHeight="1">
      <c r="A759" s="1208" t="s">
        <v>2183</v>
      </c>
      <c r="B759" s="561"/>
      <c r="C759" s="561"/>
      <c r="D759" s="561"/>
      <c r="E759" s="561"/>
      <c r="F759" s="561"/>
      <c r="G759" s="124"/>
    </row>
    <row r="760" ht="14.25" customHeight="1">
      <c r="A760" s="1426" t="s">
        <v>2006</v>
      </c>
      <c r="B760" s="1427" t="s">
        <v>2184</v>
      </c>
      <c r="C760" s="1427" t="s">
        <v>2185</v>
      </c>
      <c r="D760" s="1427" t="s">
        <v>2186</v>
      </c>
      <c r="E760" s="1427" t="s">
        <v>2187</v>
      </c>
      <c r="F760" s="1429" t="s">
        <v>1638</v>
      </c>
      <c r="G760" s="124"/>
    </row>
    <row r="761" ht="14.25" customHeight="1">
      <c r="A761" s="1282" t="s">
        <v>2191</v>
      </c>
      <c r="B761" s="1498" t="s">
        <v>2192</v>
      </c>
      <c r="C761" s="1230" t="s">
        <v>2193</v>
      </c>
      <c r="D761" s="1214" t="str">
        <f>0.1*0.6*1.3</f>
        <v>0.08</v>
      </c>
      <c r="E761" s="1214" t="str">
        <f>ROUNDUP((0.6*1.3),2)</f>
        <v>0.78</v>
      </c>
      <c r="F761" s="1578" t="str">
        <f>(E761+D761)*2</f>
        <v>1.72</v>
      </c>
      <c r="G761" s="124"/>
    </row>
    <row r="762" ht="14.25" customHeight="1">
      <c r="A762" s="1430" t="s">
        <v>1467</v>
      </c>
      <c r="B762" s="127"/>
      <c r="C762" s="127"/>
      <c r="D762" s="127"/>
      <c r="E762" s="712"/>
      <c r="F762" s="1579" t="str">
        <f>SUM(F761)</f>
        <v>1.72</v>
      </c>
      <c r="G762" s="128"/>
    </row>
    <row r="763" ht="14.25" customHeight="1">
      <c r="A763" s="1287"/>
      <c r="B763" s="1288"/>
      <c r="C763" s="1289"/>
      <c r="D763" s="1289"/>
      <c r="E763" s="1289"/>
      <c r="F763" s="1289"/>
      <c r="G763" s="1290"/>
    </row>
    <row r="764" ht="14.25" customHeight="1">
      <c r="A764" s="1199" t="s">
        <v>556</v>
      </c>
      <c r="B764" s="1200" t="s">
        <v>2194</v>
      </c>
      <c r="C764" s="28"/>
      <c r="D764" s="28"/>
      <c r="E764" s="28"/>
      <c r="F764" s="28"/>
      <c r="G764" s="29"/>
    </row>
    <row r="765" ht="14.25" customHeight="1">
      <c r="A765" s="1281" t="s">
        <v>1577</v>
      </c>
      <c r="B765" s="1259"/>
      <c r="C765" s="1259"/>
      <c r="D765" s="1259"/>
      <c r="E765" s="1259"/>
      <c r="F765" s="1259"/>
      <c r="G765" s="1260"/>
    </row>
    <row r="766" ht="14.25" customHeight="1">
      <c r="A766" s="1208" t="s">
        <v>2183</v>
      </c>
      <c r="B766" s="561"/>
      <c r="C766" s="561"/>
      <c r="D766" s="561"/>
      <c r="E766" s="561"/>
      <c r="F766" s="561"/>
      <c r="G766" s="124"/>
    </row>
    <row r="767" ht="14.25" customHeight="1">
      <c r="A767" s="1426" t="s">
        <v>2006</v>
      </c>
      <c r="B767" s="1427" t="s">
        <v>1941</v>
      </c>
      <c r="C767" s="1427" t="s">
        <v>2007</v>
      </c>
      <c r="D767" s="1427" t="s">
        <v>2195</v>
      </c>
      <c r="E767" s="1427" t="s">
        <v>1936</v>
      </c>
      <c r="F767" s="1429" t="s">
        <v>1580</v>
      </c>
      <c r="G767" s="124"/>
    </row>
    <row r="768" ht="14.25" customHeight="1">
      <c r="A768" s="1282" t="s">
        <v>2196</v>
      </c>
      <c r="B768" s="1498">
        <v>0.35</v>
      </c>
      <c r="C768" s="1230">
        <v>1.2</v>
      </c>
      <c r="D768" s="1214" t="str">
        <f>B768*C768</f>
        <v>0.42</v>
      </c>
      <c r="E768" s="1214" t="str">
        <f>ROUNDUP(D768,2)</f>
        <v>0.42</v>
      </c>
      <c r="F768" s="1580"/>
      <c r="G768" s="855"/>
    </row>
    <row r="769" ht="14.25" customHeight="1">
      <c r="A769" s="1581"/>
      <c r="B769" s="118"/>
      <c r="C769" s="119"/>
      <c r="D769" s="1582" t="s">
        <v>1467</v>
      </c>
      <c r="E769" s="1446" t="str">
        <f>ROUNDUP(E768,2)</f>
        <v>0.42</v>
      </c>
      <c r="F769" s="1258"/>
      <c r="G769" s="571"/>
    </row>
    <row r="770" ht="14.25" customHeight="1">
      <c r="A770" s="1426" t="s">
        <v>2197</v>
      </c>
      <c r="B770" s="1427" t="s">
        <v>2198</v>
      </c>
      <c r="C770" s="1427" t="s">
        <v>2007</v>
      </c>
      <c r="D770" s="1427" t="s">
        <v>2199</v>
      </c>
      <c r="E770" s="1427" t="s">
        <v>2200</v>
      </c>
      <c r="F770" s="1258"/>
      <c r="G770" s="571"/>
    </row>
    <row r="771" ht="14.25" customHeight="1">
      <c r="A771" s="1282" t="s">
        <v>2196</v>
      </c>
      <c r="B771" s="1498">
        <v>0.03</v>
      </c>
      <c r="C771" s="1230">
        <v>1.2</v>
      </c>
      <c r="D771" s="1214" t="str">
        <f>C771*B771</f>
        <v>0.04</v>
      </c>
      <c r="E771" s="1214" t="str">
        <f>D771*2</f>
        <v>0.07</v>
      </c>
      <c r="F771" s="1258"/>
      <c r="G771" s="571"/>
    </row>
    <row r="772" ht="14.25" customHeight="1">
      <c r="A772" s="1513"/>
      <c r="B772" s="127"/>
      <c r="C772" s="712"/>
      <c r="D772" s="1583" t="s">
        <v>1467</v>
      </c>
      <c r="E772" s="1424" t="str">
        <f>ROUNDUP(E771,2)</f>
        <v>0.08</v>
      </c>
      <c r="F772" s="1520"/>
      <c r="G772" s="1521"/>
    </row>
    <row r="773" ht="14.25" customHeight="1">
      <c r="A773" s="1287"/>
      <c r="B773" s="1288"/>
      <c r="C773" s="1289"/>
      <c r="D773" s="1289"/>
      <c r="E773" s="1289"/>
      <c r="F773" s="1289"/>
      <c r="G773" s="1290"/>
    </row>
    <row r="774" ht="14.25" customHeight="1">
      <c r="A774" s="1199">
        <v>13.0</v>
      </c>
      <c r="B774" s="1200" t="s">
        <v>2201</v>
      </c>
      <c r="C774" s="28"/>
      <c r="D774" s="28"/>
      <c r="E774" s="28"/>
      <c r="F774" s="28"/>
      <c r="G774" s="29"/>
    </row>
    <row r="775" ht="14.25" customHeight="1">
      <c r="A775" s="1199" t="s">
        <v>569</v>
      </c>
      <c r="B775" s="1200" t="s">
        <v>2202</v>
      </c>
      <c r="C775" s="28"/>
      <c r="D775" s="28"/>
      <c r="E775" s="28"/>
      <c r="F775" s="28"/>
      <c r="G775" s="29"/>
    </row>
    <row r="776" ht="14.25" customHeight="1">
      <c r="A776" s="1281" t="s">
        <v>2203</v>
      </c>
      <c r="B776" s="1259"/>
      <c r="C776" s="1259"/>
      <c r="D776" s="1259"/>
      <c r="E776" s="1259"/>
      <c r="F776" s="1259"/>
      <c r="G776" s="1260"/>
    </row>
    <row r="777" ht="14.25" customHeight="1">
      <c r="A777" s="1208" t="s">
        <v>2204</v>
      </c>
      <c r="B777" s="561"/>
      <c r="C777" s="561"/>
      <c r="D777" s="561"/>
      <c r="E777" s="561"/>
      <c r="F777" s="561"/>
      <c r="G777" s="124"/>
    </row>
    <row r="778" ht="14.25" customHeight="1">
      <c r="A778" s="1426" t="s">
        <v>1585</v>
      </c>
      <c r="B778" s="1427" t="s">
        <v>1585</v>
      </c>
      <c r="C778" s="1427" t="s">
        <v>1899</v>
      </c>
      <c r="D778" s="1427" t="s">
        <v>1620</v>
      </c>
      <c r="E778" s="1427" t="s">
        <v>1900</v>
      </c>
      <c r="F778" s="1427" t="s">
        <v>1901</v>
      </c>
      <c r="G778" s="1463" t="s">
        <v>1902</v>
      </c>
    </row>
    <row r="779" ht="14.25" customHeight="1">
      <c r="A779" s="1464" t="s">
        <v>2018</v>
      </c>
      <c r="B779" s="561"/>
      <c r="C779" s="561"/>
      <c r="D779" s="561"/>
      <c r="E779" s="561"/>
      <c r="F779" s="561"/>
      <c r="G779" s="124"/>
    </row>
    <row r="780" ht="14.25" customHeight="1">
      <c r="A780" s="1251" t="s">
        <v>2019</v>
      </c>
      <c r="B780" s="1214">
        <v>1.5</v>
      </c>
      <c r="C780" s="1214">
        <v>2.8</v>
      </c>
      <c r="D780" s="1214" t="str">
        <f t="shared" ref="D780:D787" si="78">B780*C780</f>
        <v>4.20</v>
      </c>
      <c r="E780" s="1214"/>
      <c r="F780" s="1214"/>
      <c r="G780" s="1467" t="str">
        <f t="shared" ref="G780:G787" si="79">D780-F780</f>
        <v>4.20</v>
      </c>
    </row>
    <row r="781" ht="14.25" customHeight="1">
      <c r="A781" s="1251" t="s">
        <v>2020</v>
      </c>
      <c r="B781" s="1535">
        <v>1.95</v>
      </c>
      <c r="C781" s="1214">
        <v>2.8</v>
      </c>
      <c r="D781" s="1214" t="str">
        <f t="shared" si="78"/>
        <v>5.46</v>
      </c>
      <c r="E781" s="1466" t="s">
        <v>2021</v>
      </c>
      <c r="F781" s="1214" t="str">
        <f>(0.8*2.1)</f>
        <v>1.68</v>
      </c>
      <c r="G781" s="1467" t="str">
        <f t="shared" si="79"/>
        <v>3.78</v>
      </c>
    </row>
    <row r="782" ht="14.25" customHeight="1">
      <c r="A782" s="1251" t="s">
        <v>2022</v>
      </c>
      <c r="B782" s="1214" t="str">
        <f t="shared" ref="B782:B783" si="80">1.05+2.85+3.85+1.85+1.08+2</f>
        <v>12.68</v>
      </c>
      <c r="C782" s="1214">
        <v>0.7</v>
      </c>
      <c r="D782" s="1214" t="str">
        <f t="shared" si="78"/>
        <v>8.88</v>
      </c>
      <c r="E782" s="1214"/>
      <c r="F782" s="1214"/>
      <c r="G782" s="1467" t="str">
        <f t="shared" si="79"/>
        <v>8.88</v>
      </c>
    </row>
    <row r="783" ht="14.25" customHeight="1">
      <c r="A783" s="1251" t="s">
        <v>2023</v>
      </c>
      <c r="B783" s="1214" t="str">
        <f t="shared" si="80"/>
        <v>12.68</v>
      </c>
      <c r="C783" s="1214">
        <v>0.7</v>
      </c>
      <c r="D783" s="1214" t="str">
        <f t="shared" si="78"/>
        <v>8.88</v>
      </c>
      <c r="E783" s="1214"/>
      <c r="F783" s="1214"/>
      <c r="G783" s="1467" t="str">
        <f t="shared" si="79"/>
        <v>8.88</v>
      </c>
    </row>
    <row r="784" ht="14.25" customHeight="1">
      <c r="A784" s="1251" t="s">
        <v>2062</v>
      </c>
      <c r="B784" s="1214" t="str">
        <f t="shared" ref="B784:B785" si="81">1.85+1.65+1.85+1.65</f>
        <v>7.00</v>
      </c>
      <c r="C784" s="1214">
        <v>0.7</v>
      </c>
      <c r="D784" s="1214" t="str">
        <f t="shared" si="78"/>
        <v>4.90</v>
      </c>
      <c r="E784" s="1214"/>
      <c r="F784" s="1214"/>
      <c r="G784" s="1467" t="str">
        <f t="shared" si="79"/>
        <v>4.90</v>
      </c>
    </row>
    <row r="785" ht="14.25" customHeight="1">
      <c r="A785" s="1251" t="s">
        <v>2063</v>
      </c>
      <c r="B785" s="1214" t="str">
        <f t="shared" si="81"/>
        <v>7.00</v>
      </c>
      <c r="C785" s="1214">
        <v>0.7</v>
      </c>
      <c r="D785" s="1214" t="str">
        <f t="shared" si="78"/>
        <v>4.90</v>
      </c>
      <c r="E785" s="1214"/>
      <c r="F785" s="1214"/>
      <c r="G785" s="1467" t="str">
        <f t="shared" si="79"/>
        <v>4.90</v>
      </c>
    </row>
    <row r="786" ht="14.25" customHeight="1">
      <c r="A786" s="1251" t="s">
        <v>2027</v>
      </c>
      <c r="B786" s="1214" t="str">
        <f>1.35+1.35+2.35+2.35</f>
        <v>7.40</v>
      </c>
      <c r="C786" s="1214">
        <v>0.7</v>
      </c>
      <c r="D786" s="1214" t="str">
        <f t="shared" si="78"/>
        <v>5.18</v>
      </c>
      <c r="E786" s="1214"/>
      <c r="F786" s="1214"/>
      <c r="G786" s="1467" t="str">
        <f t="shared" si="79"/>
        <v>5.18</v>
      </c>
    </row>
    <row r="787" ht="14.25" customHeight="1">
      <c r="A787" s="1251" t="s">
        <v>2028</v>
      </c>
      <c r="B787" s="1214" t="str">
        <f>3.85+3.85+2+2</f>
        <v>11.70</v>
      </c>
      <c r="C787" s="1214">
        <v>0.7</v>
      </c>
      <c r="D787" s="1214" t="str">
        <f t="shared" si="78"/>
        <v>8.19</v>
      </c>
      <c r="E787" s="1214"/>
      <c r="F787" s="1214"/>
      <c r="G787" s="1467" t="str">
        <f t="shared" si="79"/>
        <v>8.19</v>
      </c>
    </row>
    <row r="788" ht="14.25" customHeight="1">
      <c r="A788" s="1536"/>
      <c r="B788" s="561"/>
      <c r="C788" s="561"/>
      <c r="D788" s="561"/>
      <c r="E788" s="561"/>
      <c r="F788" s="561"/>
      <c r="G788" s="124"/>
    </row>
    <row r="789" ht="14.25" customHeight="1">
      <c r="A789" s="1464" t="s">
        <v>2029</v>
      </c>
      <c r="B789" s="561"/>
      <c r="C789" s="561"/>
      <c r="D789" s="561"/>
      <c r="E789" s="561"/>
      <c r="F789" s="561"/>
      <c r="G789" s="124"/>
    </row>
    <row r="790" ht="14.25" customHeight="1">
      <c r="A790" s="1251" t="s">
        <v>2030</v>
      </c>
      <c r="B790" s="1214">
        <v>3.5</v>
      </c>
      <c r="C790" s="1214">
        <v>2.8</v>
      </c>
      <c r="D790" s="1214" t="str">
        <f t="shared" ref="D790:D801" si="82">B790*C790</f>
        <v>9.80</v>
      </c>
      <c r="E790" s="1466" t="s">
        <v>2021</v>
      </c>
      <c r="F790" s="1214" t="str">
        <f>(0.8*2.1)</f>
        <v>1.68</v>
      </c>
      <c r="G790" s="1467" t="str">
        <f t="shared" ref="G790:G801" si="83">D790-F790</f>
        <v>8.12</v>
      </c>
    </row>
    <row r="791" ht="14.25" customHeight="1">
      <c r="A791" s="1251" t="s">
        <v>2031</v>
      </c>
      <c r="B791" s="1214" t="str">
        <f>3.15+3.5</f>
        <v>6.65</v>
      </c>
      <c r="C791" s="1214">
        <v>2.8</v>
      </c>
      <c r="D791" s="1214" t="str">
        <f t="shared" si="82"/>
        <v>18.62</v>
      </c>
      <c r="E791" s="1466" t="s">
        <v>2032</v>
      </c>
      <c r="F791" s="1214" t="str">
        <f>(0.8*2.1)+(1.1*0.6*2)</f>
        <v>3.00</v>
      </c>
      <c r="G791" s="1467" t="str">
        <f t="shared" si="83"/>
        <v>15.62</v>
      </c>
    </row>
    <row r="792" ht="14.25" customHeight="1">
      <c r="A792" s="1251" t="s">
        <v>2033</v>
      </c>
      <c r="B792" s="1214" t="str">
        <f>3.35+3.15</f>
        <v>6.50</v>
      </c>
      <c r="C792" s="1214">
        <v>2.8</v>
      </c>
      <c r="D792" s="1214" t="str">
        <f t="shared" si="82"/>
        <v>18.20</v>
      </c>
      <c r="E792" s="1214"/>
      <c r="F792" s="1214"/>
      <c r="G792" s="1467" t="str">
        <f t="shared" si="83"/>
        <v>18.20</v>
      </c>
    </row>
    <row r="793" ht="14.25" customHeight="1">
      <c r="A793" s="1251" t="s">
        <v>2034</v>
      </c>
      <c r="B793" s="1214">
        <v>8.0</v>
      </c>
      <c r="C793" s="1214">
        <v>2.8</v>
      </c>
      <c r="D793" s="1214" t="str">
        <f t="shared" si="82"/>
        <v>22.40</v>
      </c>
      <c r="E793" s="1466" t="s">
        <v>2035</v>
      </c>
      <c r="F793" s="1214" t="str">
        <f>(2.2*1.1)+(0.8*2.1)</f>
        <v>4.10</v>
      </c>
      <c r="G793" s="1467" t="str">
        <f t="shared" si="83"/>
        <v>18.30</v>
      </c>
    </row>
    <row r="794" ht="14.25" customHeight="1">
      <c r="A794" s="1251" t="s">
        <v>2034</v>
      </c>
      <c r="B794" s="1214">
        <v>8.0</v>
      </c>
      <c r="C794" s="1214">
        <v>2.8</v>
      </c>
      <c r="D794" s="1214" t="str">
        <f t="shared" si="82"/>
        <v>22.40</v>
      </c>
      <c r="E794" s="1214"/>
      <c r="F794" s="1214"/>
      <c r="G794" s="1467" t="str">
        <f t="shared" si="83"/>
        <v>22.40</v>
      </c>
    </row>
    <row r="795" ht="14.25" customHeight="1">
      <c r="A795" s="1251" t="s">
        <v>2036</v>
      </c>
      <c r="B795" s="1214">
        <v>3.5</v>
      </c>
      <c r="C795" s="1214">
        <v>2.8</v>
      </c>
      <c r="D795" s="1214" t="str">
        <f t="shared" si="82"/>
        <v>9.80</v>
      </c>
      <c r="E795" s="1466" t="s">
        <v>2037</v>
      </c>
      <c r="F795" s="1214" t="str">
        <f>2.2*1.1</f>
        <v>2.42</v>
      </c>
      <c r="G795" s="1467" t="str">
        <f t="shared" si="83"/>
        <v>7.38</v>
      </c>
    </row>
    <row r="796" ht="14.25" customHeight="1">
      <c r="A796" s="1251" t="s">
        <v>2038</v>
      </c>
      <c r="B796" s="1214" t="str">
        <f>2.55+2</f>
        <v>4.55</v>
      </c>
      <c r="C796" s="1214">
        <v>2.8</v>
      </c>
      <c r="D796" s="1214" t="str">
        <f t="shared" si="82"/>
        <v>12.74</v>
      </c>
      <c r="E796" s="1214"/>
      <c r="F796" s="1214"/>
      <c r="G796" s="1467" t="str">
        <f t="shared" si="83"/>
        <v>12.74</v>
      </c>
    </row>
    <row r="797" ht="14.25" customHeight="1">
      <c r="A797" s="1537" t="s">
        <v>2039</v>
      </c>
      <c r="B797" s="1538">
        <v>4.0</v>
      </c>
      <c r="C797" s="1296">
        <v>2.8</v>
      </c>
      <c r="D797" s="1296" t="str">
        <f t="shared" si="82"/>
        <v>11.20</v>
      </c>
      <c r="E797" s="1295" t="s">
        <v>2040</v>
      </c>
      <c r="F797" s="1296" t="str">
        <f>(1.3*2.1)+(2.3*1.1)</f>
        <v>5.26</v>
      </c>
      <c r="G797" s="1539" t="str">
        <f t="shared" si="83"/>
        <v>5.94</v>
      </c>
    </row>
    <row r="798" ht="14.25" customHeight="1">
      <c r="A798" s="1537" t="s">
        <v>2041</v>
      </c>
      <c r="B798" s="1538" t="str">
        <f>2.15+1.35+1.5</f>
        <v>5.00</v>
      </c>
      <c r="C798" s="1296">
        <v>5.23</v>
      </c>
      <c r="D798" s="1296" t="str">
        <f t="shared" si="82"/>
        <v>26.15</v>
      </c>
      <c r="E798" s="1295" t="s">
        <v>2042</v>
      </c>
      <c r="F798" s="1296" t="str">
        <f>1.2*1.1+(0.8*2.1)+(0.9*2.1)</f>
        <v>4.89</v>
      </c>
      <c r="G798" s="1539" t="str">
        <f t="shared" si="83"/>
        <v>21.26</v>
      </c>
    </row>
    <row r="799" ht="14.25" customHeight="1">
      <c r="A799" s="1537" t="s">
        <v>2043</v>
      </c>
      <c r="B799" s="1538">
        <v>1.5</v>
      </c>
      <c r="C799" s="1296">
        <v>5.23</v>
      </c>
      <c r="D799" s="1296" t="str">
        <f t="shared" si="82"/>
        <v>7.85</v>
      </c>
      <c r="E799" s="1296"/>
      <c r="F799" s="1296"/>
      <c r="G799" s="1539" t="str">
        <f t="shared" si="83"/>
        <v>7.85</v>
      </c>
    </row>
    <row r="800" ht="14.25" customHeight="1">
      <c r="A800" s="1537" t="s">
        <v>2044</v>
      </c>
      <c r="B800" s="1538" t="str">
        <f>4.6+9.6</f>
        <v>14.20</v>
      </c>
      <c r="C800" s="1296">
        <v>4.73</v>
      </c>
      <c r="D800" s="1296" t="str">
        <f t="shared" si="82"/>
        <v>67.17</v>
      </c>
      <c r="E800" s="1295" t="s">
        <v>2045</v>
      </c>
      <c r="F800" s="1296" t="str">
        <f>2.3*1.1*2+(0.8*2.1)+(1*2.1)</f>
        <v>8.84</v>
      </c>
      <c r="G800" s="1539" t="str">
        <f t="shared" si="83"/>
        <v>58.33</v>
      </c>
    </row>
    <row r="801" ht="14.25" customHeight="1">
      <c r="A801" s="1537" t="s">
        <v>2046</v>
      </c>
      <c r="B801" s="1538">
        <v>4.6</v>
      </c>
      <c r="C801" s="1296">
        <v>1.93</v>
      </c>
      <c r="D801" s="1296" t="str">
        <f t="shared" si="82"/>
        <v>8.88</v>
      </c>
      <c r="E801" s="1296"/>
      <c r="F801" s="1296"/>
      <c r="G801" s="1539" t="str">
        <f t="shared" si="83"/>
        <v>8.88</v>
      </c>
    </row>
    <row r="802" ht="14.25" customHeight="1">
      <c r="A802" s="1536"/>
      <c r="B802" s="561"/>
      <c r="C802" s="561"/>
      <c r="D802" s="561"/>
      <c r="E802" s="561"/>
      <c r="F802" s="561"/>
      <c r="G802" s="124"/>
    </row>
    <row r="803" ht="14.25" customHeight="1">
      <c r="A803" s="1464" t="s">
        <v>2047</v>
      </c>
      <c r="B803" s="561"/>
      <c r="C803" s="561"/>
      <c r="D803" s="561"/>
      <c r="E803" s="561"/>
      <c r="F803" s="561"/>
      <c r="G803" s="124"/>
    </row>
    <row r="804" ht="14.25" customHeight="1">
      <c r="A804" s="1251" t="s">
        <v>2048</v>
      </c>
      <c r="B804" s="1469" t="str">
        <f t="shared" ref="B804:B805" si="84">7.5+4.65</f>
        <v>12.15</v>
      </c>
      <c r="C804" s="1214">
        <v>2.8</v>
      </c>
      <c r="D804" s="1214" t="str">
        <f t="shared" ref="D804:D812" si="85">B804*C804</f>
        <v>34.02</v>
      </c>
      <c r="E804" s="1466" t="s">
        <v>2049</v>
      </c>
      <c r="F804" s="1214" t="str">
        <f>(1.6*2.1)+(3*1.1*0.6)</f>
        <v>5.34</v>
      </c>
      <c r="G804" s="1467" t="str">
        <f t="shared" ref="G804:G812" si="86">D804-F804</f>
        <v>28.68</v>
      </c>
    </row>
    <row r="805" ht="14.25" customHeight="1">
      <c r="A805" s="1251" t="s">
        <v>2048</v>
      </c>
      <c r="B805" s="1469" t="str">
        <f t="shared" si="84"/>
        <v>12.15</v>
      </c>
      <c r="C805" s="1214">
        <v>2.8</v>
      </c>
      <c r="D805" s="1214" t="str">
        <f t="shared" si="85"/>
        <v>34.02</v>
      </c>
      <c r="E805" s="1214"/>
      <c r="F805" s="1214"/>
      <c r="G805" s="1467" t="str">
        <f t="shared" si="86"/>
        <v>34.02</v>
      </c>
    </row>
    <row r="806" ht="14.25" customHeight="1">
      <c r="A806" s="1251" t="s">
        <v>2050</v>
      </c>
      <c r="B806" s="1535" t="str">
        <f>8.85+10.35</f>
        <v>19.20</v>
      </c>
      <c r="C806" s="1214">
        <v>2.8</v>
      </c>
      <c r="D806" s="1214" t="str">
        <f t="shared" si="85"/>
        <v>53.76</v>
      </c>
      <c r="E806" s="1466" t="s">
        <v>2051</v>
      </c>
      <c r="F806" s="1214" t="str">
        <f>2.3*1.1*5</f>
        <v>12.65</v>
      </c>
      <c r="G806" s="1467" t="str">
        <f t="shared" si="86"/>
        <v>41.11</v>
      </c>
    </row>
    <row r="807" ht="14.25" customHeight="1">
      <c r="A807" s="1251" t="s">
        <v>2052</v>
      </c>
      <c r="B807" s="1535" t="str">
        <f>4.65+4</f>
        <v>8.65</v>
      </c>
      <c r="C807" s="1214">
        <v>2.8</v>
      </c>
      <c r="D807" s="1214" t="str">
        <f t="shared" si="85"/>
        <v>24.22</v>
      </c>
      <c r="E807" s="1214"/>
      <c r="F807" s="1214"/>
      <c r="G807" s="1467" t="str">
        <f t="shared" si="86"/>
        <v>24.22</v>
      </c>
    </row>
    <row r="808" ht="14.25" customHeight="1">
      <c r="A808" s="1251" t="s">
        <v>2053</v>
      </c>
      <c r="B808" s="1535">
        <v>5.5</v>
      </c>
      <c r="C808" s="1214">
        <v>2.8</v>
      </c>
      <c r="D808" s="1214" t="str">
        <f t="shared" si="85"/>
        <v>15.40</v>
      </c>
      <c r="E808" s="1466" t="s">
        <v>2054</v>
      </c>
      <c r="F808" s="1214" t="str">
        <f>2.3*1.1</f>
        <v>2.53</v>
      </c>
      <c r="G808" s="1467" t="str">
        <f t="shared" si="86"/>
        <v>12.87</v>
      </c>
    </row>
    <row r="809" ht="14.25" customHeight="1">
      <c r="A809" s="1251" t="s">
        <v>2055</v>
      </c>
      <c r="B809" s="1535">
        <v>4.5</v>
      </c>
      <c r="C809" s="1214">
        <v>2.8</v>
      </c>
      <c r="D809" s="1214" t="str">
        <f t="shared" si="85"/>
        <v>12.60</v>
      </c>
      <c r="E809" s="1214"/>
      <c r="F809" s="1214"/>
      <c r="G809" s="1467" t="str">
        <f t="shared" si="86"/>
        <v>12.60</v>
      </c>
    </row>
    <row r="810" ht="14.25" customHeight="1">
      <c r="A810" s="1537" t="s">
        <v>2056</v>
      </c>
      <c r="B810" s="1538">
        <v>5.0</v>
      </c>
      <c r="C810" s="1296">
        <v>2.8</v>
      </c>
      <c r="D810" s="1296" t="str">
        <f t="shared" si="85"/>
        <v>14.00</v>
      </c>
      <c r="E810" s="1296"/>
      <c r="F810" s="1296"/>
      <c r="G810" s="1539" t="str">
        <f t="shared" si="86"/>
        <v>14.00</v>
      </c>
    </row>
    <row r="811" ht="14.25" customHeight="1">
      <c r="A811" s="1537" t="s">
        <v>2057</v>
      </c>
      <c r="B811" s="1538">
        <v>9.0</v>
      </c>
      <c r="C811" s="1296">
        <v>2.8</v>
      </c>
      <c r="D811" s="1296" t="str">
        <f t="shared" si="85"/>
        <v>25.20</v>
      </c>
      <c r="E811" s="1296"/>
      <c r="F811" s="1296"/>
      <c r="G811" s="1539" t="str">
        <f t="shared" si="86"/>
        <v>25.20</v>
      </c>
    </row>
    <row r="812" ht="14.25" customHeight="1">
      <c r="A812" s="1537" t="s">
        <v>2058</v>
      </c>
      <c r="B812" s="1538">
        <v>6.15</v>
      </c>
      <c r="C812" s="1296">
        <v>5.23</v>
      </c>
      <c r="D812" s="1296" t="str">
        <f t="shared" si="85"/>
        <v>32.16</v>
      </c>
      <c r="E812" s="1295" t="s">
        <v>2205</v>
      </c>
      <c r="F812" s="1296" t="str">
        <f>(0.8*2.1*4)</f>
        <v>6.72</v>
      </c>
      <c r="G812" s="1539" t="str">
        <f t="shared" si="86"/>
        <v>25.44</v>
      </c>
    </row>
    <row r="813" ht="14.25" customHeight="1">
      <c r="A813" s="1536"/>
      <c r="B813" s="561"/>
      <c r="C813" s="561"/>
      <c r="D813" s="561"/>
      <c r="E813" s="561"/>
      <c r="F813" s="561"/>
      <c r="G813" s="124"/>
    </row>
    <row r="814" ht="14.25" customHeight="1">
      <c r="A814" s="1470" t="s">
        <v>2206</v>
      </c>
      <c r="B814" s="561"/>
      <c r="C814" s="561"/>
      <c r="D814" s="561"/>
      <c r="E814" s="561"/>
      <c r="F814" s="561"/>
      <c r="G814" s="124"/>
    </row>
    <row r="815" ht="14.25" customHeight="1">
      <c r="A815" s="1540"/>
      <c r="B815" s="1210"/>
      <c r="C815" s="1472" t="s">
        <v>2018</v>
      </c>
      <c r="D815" s="561"/>
      <c r="E815" s="561"/>
      <c r="F815" s="41"/>
      <c r="G815" s="1467"/>
    </row>
    <row r="816" ht="14.25" customHeight="1">
      <c r="A816" s="1421"/>
      <c r="B816" s="1418"/>
      <c r="C816" s="1473" t="s">
        <v>1467</v>
      </c>
      <c r="D816" s="561"/>
      <c r="E816" s="561"/>
      <c r="F816" s="41"/>
      <c r="G816" s="1541" t="str">
        <f>ROUNDUP(G780+G781+G782+G783+G784+G785+G786+G787,2)</f>
        <v>48.91</v>
      </c>
    </row>
    <row r="817" ht="14.25" customHeight="1">
      <c r="A817" s="1421"/>
      <c r="B817" s="1418"/>
      <c r="C817" s="1472" t="s">
        <v>2029</v>
      </c>
      <c r="D817" s="561"/>
      <c r="E817" s="561"/>
      <c r="F817" s="41"/>
      <c r="G817" s="1542"/>
    </row>
    <row r="818" ht="14.25" customHeight="1">
      <c r="A818" s="1421"/>
      <c r="B818" s="1418"/>
      <c r="C818" s="1473" t="s">
        <v>1467</v>
      </c>
      <c r="D818" s="561"/>
      <c r="E818" s="561"/>
      <c r="F818" s="41"/>
      <c r="G818" s="1541" t="str">
        <f>ROUNDUP(G790+G791+G792+G793+G794+G795+G796+G797+G798+G799+G800+G801,2)</f>
        <v>205.01</v>
      </c>
    </row>
    <row r="819" ht="14.25" customHeight="1">
      <c r="A819" s="1421"/>
      <c r="B819" s="1418"/>
      <c r="C819" s="1472" t="s">
        <v>2047</v>
      </c>
      <c r="D819" s="561"/>
      <c r="E819" s="561"/>
      <c r="F819" s="41"/>
      <c r="G819" s="1542"/>
    </row>
    <row r="820" ht="14.25" customHeight="1">
      <c r="A820" s="1213"/>
      <c r="B820" s="39"/>
      <c r="C820" s="1473" t="s">
        <v>1467</v>
      </c>
      <c r="D820" s="561"/>
      <c r="E820" s="561"/>
      <c r="F820" s="41"/>
      <c r="G820" s="1541" t="str">
        <f>ROUNDUP(G804+G810+G811+G805+G806+G808+G809+G812,2)</f>
        <v>193.93</v>
      </c>
    </row>
    <row r="821" ht="14.25" customHeight="1">
      <c r="A821" s="1543" t="s">
        <v>1623</v>
      </c>
      <c r="B821" s="127"/>
      <c r="C821" s="127"/>
      <c r="D821" s="127"/>
      <c r="E821" s="127"/>
      <c r="F821" s="712"/>
      <c r="G821" s="1544" t="str">
        <f>ROUNDUP(G816+G818+G820,2)</f>
        <v>447.85</v>
      </c>
    </row>
    <row r="822" ht="14.25" customHeight="1">
      <c r="A822" s="1510"/>
      <c r="B822" s="1584"/>
      <c r="C822" s="1584"/>
      <c r="D822" s="1584"/>
      <c r="E822" s="1584"/>
      <c r="F822" s="1584"/>
      <c r="G822" s="1585"/>
    </row>
    <row r="823" ht="14.25" customHeight="1">
      <c r="A823" s="1199" t="s">
        <v>571</v>
      </c>
      <c r="B823" s="1200" t="s">
        <v>2207</v>
      </c>
      <c r="C823" s="28"/>
      <c r="D823" s="28"/>
      <c r="E823" s="28"/>
      <c r="F823" s="28"/>
      <c r="G823" s="29"/>
    </row>
    <row r="824" ht="14.25" customHeight="1">
      <c r="A824" s="1281" t="s">
        <v>2203</v>
      </c>
      <c r="B824" s="1259"/>
      <c r="C824" s="1259"/>
      <c r="D824" s="1259"/>
      <c r="E824" s="1259"/>
      <c r="F824" s="1259"/>
      <c r="G824" s="1260"/>
    </row>
    <row r="825" ht="14.25" customHeight="1">
      <c r="A825" s="1208" t="s">
        <v>2204</v>
      </c>
      <c r="B825" s="561"/>
      <c r="C825" s="561"/>
      <c r="D825" s="561"/>
      <c r="E825" s="561"/>
      <c r="F825" s="561"/>
      <c r="G825" s="124"/>
    </row>
    <row r="826" ht="14.25" customHeight="1">
      <c r="A826" s="1426" t="s">
        <v>1585</v>
      </c>
      <c r="B826" s="1427" t="s">
        <v>1585</v>
      </c>
      <c r="C826" s="1427" t="s">
        <v>1899</v>
      </c>
      <c r="D826" s="1427" t="s">
        <v>1620</v>
      </c>
      <c r="E826" s="1427" t="s">
        <v>1900</v>
      </c>
      <c r="F826" s="1427" t="s">
        <v>1901</v>
      </c>
      <c r="G826" s="1463" t="s">
        <v>1902</v>
      </c>
    </row>
    <row r="827" ht="14.25" customHeight="1">
      <c r="A827" s="1464" t="s">
        <v>2018</v>
      </c>
      <c r="B827" s="561"/>
      <c r="C827" s="561"/>
      <c r="D827" s="561"/>
      <c r="E827" s="561"/>
      <c r="F827" s="561"/>
      <c r="G827" s="124"/>
    </row>
    <row r="828" ht="14.25" customHeight="1">
      <c r="A828" s="1251" t="s">
        <v>2019</v>
      </c>
      <c r="B828" s="1214">
        <v>1.5</v>
      </c>
      <c r="C828" s="1214">
        <v>2.8</v>
      </c>
      <c r="D828" s="1214" t="str">
        <f t="shared" ref="D828:D835" si="87">B828*C828</f>
        <v>4.20</v>
      </c>
      <c r="E828" s="1214"/>
      <c r="F828" s="1214"/>
      <c r="G828" s="1467" t="str">
        <f t="shared" ref="G828:G835" si="88">D828-F828</f>
        <v>4.20</v>
      </c>
    </row>
    <row r="829" ht="14.25" customHeight="1">
      <c r="A829" s="1251" t="s">
        <v>2020</v>
      </c>
      <c r="B829" s="1535">
        <v>1.95</v>
      </c>
      <c r="C829" s="1214">
        <v>2.8</v>
      </c>
      <c r="D829" s="1214" t="str">
        <f t="shared" si="87"/>
        <v>5.46</v>
      </c>
      <c r="E829" s="1466" t="s">
        <v>2021</v>
      </c>
      <c r="F829" s="1214" t="str">
        <f>(0.8*2.1)</f>
        <v>1.68</v>
      </c>
      <c r="G829" s="1467" t="str">
        <f t="shared" si="88"/>
        <v>3.78</v>
      </c>
    </row>
    <row r="830" ht="14.25" customHeight="1">
      <c r="A830" s="1251" t="s">
        <v>2022</v>
      </c>
      <c r="B830" s="1214" t="str">
        <f t="shared" ref="B830:B831" si="89">1.05+2.85+3.85+1.85+1.08+2</f>
        <v>12.68</v>
      </c>
      <c r="C830" s="1214">
        <v>0.7</v>
      </c>
      <c r="D830" s="1214" t="str">
        <f t="shared" si="87"/>
        <v>8.88</v>
      </c>
      <c r="E830" s="1214"/>
      <c r="F830" s="1214"/>
      <c r="G830" s="1467" t="str">
        <f t="shared" si="88"/>
        <v>8.88</v>
      </c>
    </row>
    <row r="831" ht="14.25" customHeight="1">
      <c r="A831" s="1251" t="s">
        <v>2023</v>
      </c>
      <c r="B831" s="1214" t="str">
        <f t="shared" si="89"/>
        <v>12.68</v>
      </c>
      <c r="C831" s="1214">
        <v>0.7</v>
      </c>
      <c r="D831" s="1214" t="str">
        <f t="shared" si="87"/>
        <v>8.88</v>
      </c>
      <c r="E831" s="1214"/>
      <c r="F831" s="1214"/>
      <c r="G831" s="1467" t="str">
        <f t="shared" si="88"/>
        <v>8.88</v>
      </c>
    </row>
    <row r="832" ht="14.25" customHeight="1">
      <c r="A832" s="1251" t="s">
        <v>2062</v>
      </c>
      <c r="B832" s="1214" t="str">
        <f t="shared" ref="B832:B833" si="90">1.85+1.65+1.85+1.65</f>
        <v>7.00</v>
      </c>
      <c r="C832" s="1214">
        <v>0.7</v>
      </c>
      <c r="D832" s="1214" t="str">
        <f t="shared" si="87"/>
        <v>4.90</v>
      </c>
      <c r="E832" s="1214"/>
      <c r="F832" s="1214"/>
      <c r="G832" s="1467" t="str">
        <f t="shared" si="88"/>
        <v>4.90</v>
      </c>
    </row>
    <row r="833" ht="14.25" customHeight="1">
      <c r="A833" s="1251" t="s">
        <v>2063</v>
      </c>
      <c r="B833" s="1214" t="str">
        <f t="shared" si="90"/>
        <v>7.00</v>
      </c>
      <c r="C833" s="1214">
        <v>0.7</v>
      </c>
      <c r="D833" s="1214" t="str">
        <f t="shared" si="87"/>
        <v>4.90</v>
      </c>
      <c r="E833" s="1214"/>
      <c r="F833" s="1214"/>
      <c r="G833" s="1467" t="str">
        <f t="shared" si="88"/>
        <v>4.90</v>
      </c>
    </row>
    <row r="834" ht="14.25" customHeight="1">
      <c r="A834" s="1251" t="s">
        <v>2027</v>
      </c>
      <c r="B834" s="1214" t="str">
        <f>1.35+1.35+2.35+2.35</f>
        <v>7.40</v>
      </c>
      <c r="C834" s="1214">
        <v>0.7</v>
      </c>
      <c r="D834" s="1214" t="str">
        <f t="shared" si="87"/>
        <v>5.18</v>
      </c>
      <c r="E834" s="1214"/>
      <c r="F834" s="1214"/>
      <c r="G834" s="1467" t="str">
        <f t="shared" si="88"/>
        <v>5.18</v>
      </c>
    </row>
    <row r="835" ht="14.25" customHeight="1">
      <c r="A835" s="1251" t="s">
        <v>2028</v>
      </c>
      <c r="B835" s="1214" t="str">
        <f>3.85+3.85+2+2</f>
        <v>11.70</v>
      </c>
      <c r="C835" s="1214">
        <v>0.7</v>
      </c>
      <c r="D835" s="1214" t="str">
        <f t="shared" si="87"/>
        <v>8.19</v>
      </c>
      <c r="E835" s="1214"/>
      <c r="F835" s="1214"/>
      <c r="G835" s="1467" t="str">
        <f t="shared" si="88"/>
        <v>8.19</v>
      </c>
    </row>
    <row r="836" ht="14.25" customHeight="1">
      <c r="A836" s="1536"/>
      <c r="B836" s="561"/>
      <c r="C836" s="561"/>
      <c r="D836" s="561"/>
      <c r="E836" s="561"/>
      <c r="F836" s="561"/>
      <c r="G836" s="124"/>
    </row>
    <row r="837" ht="14.25" customHeight="1">
      <c r="A837" s="1464" t="s">
        <v>2029</v>
      </c>
      <c r="B837" s="561"/>
      <c r="C837" s="561"/>
      <c r="D837" s="561"/>
      <c r="E837" s="561"/>
      <c r="F837" s="561"/>
      <c r="G837" s="124"/>
    </row>
    <row r="838" ht="14.25" customHeight="1">
      <c r="A838" s="1251" t="s">
        <v>2030</v>
      </c>
      <c r="B838" s="1214">
        <v>3.5</v>
      </c>
      <c r="C838" s="1214">
        <v>2.8</v>
      </c>
      <c r="D838" s="1214" t="str">
        <f t="shared" ref="D838:D849" si="91">B838*C838</f>
        <v>9.80</v>
      </c>
      <c r="E838" s="1466" t="s">
        <v>2021</v>
      </c>
      <c r="F838" s="1214" t="str">
        <f>(0.8*2.1)</f>
        <v>1.68</v>
      </c>
      <c r="G838" s="1467" t="str">
        <f t="shared" ref="G838:G849" si="92">D838-F838</f>
        <v>8.12</v>
      </c>
    </row>
    <row r="839" ht="14.25" customHeight="1">
      <c r="A839" s="1251" t="s">
        <v>2031</v>
      </c>
      <c r="B839" s="1214" t="str">
        <f>3.15+3.5</f>
        <v>6.65</v>
      </c>
      <c r="C839" s="1214">
        <v>2.8</v>
      </c>
      <c r="D839" s="1214" t="str">
        <f t="shared" si="91"/>
        <v>18.62</v>
      </c>
      <c r="E839" s="1466" t="s">
        <v>2032</v>
      </c>
      <c r="F839" s="1214" t="str">
        <f>(0.8*2.1)+(1.1*0.6*2)</f>
        <v>3.00</v>
      </c>
      <c r="G839" s="1467" t="str">
        <f t="shared" si="92"/>
        <v>15.62</v>
      </c>
    </row>
    <row r="840" ht="14.25" customHeight="1">
      <c r="A840" s="1251" t="s">
        <v>2033</v>
      </c>
      <c r="B840" s="1214" t="str">
        <f>3.35+3.15</f>
        <v>6.50</v>
      </c>
      <c r="C840" s="1214">
        <v>2.8</v>
      </c>
      <c r="D840" s="1214" t="str">
        <f t="shared" si="91"/>
        <v>18.20</v>
      </c>
      <c r="E840" s="1214"/>
      <c r="F840" s="1214"/>
      <c r="G840" s="1467" t="str">
        <f t="shared" si="92"/>
        <v>18.20</v>
      </c>
    </row>
    <row r="841" ht="14.25" customHeight="1">
      <c r="A841" s="1251" t="s">
        <v>2034</v>
      </c>
      <c r="B841" s="1214">
        <v>8.0</v>
      </c>
      <c r="C841" s="1214">
        <v>2.8</v>
      </c>
      <c r="D841" s="1214" t="str">
        <f t="shared" si="91"/>
        <v>22.40</v>
      </c>
      <c r="E841" s="1466" t="s">
        <v>2035</v>
      </c>
      <c r="F841" s="1214" t="str">
        <f>(2.2*1.1)+(0.8*2.1)</f>
        <v>4.10</v>
      </c>
      <c r="G841" s="1467" t="str">
        <f t="shared" si="92"/>
        <v>18.30</v>
      </c>
    </row>
    <row r="842" ht="14.25" customHeight="1">
      <c r="A842" s="1251" t="s">
        <v>2034</v>
      </c>
      <c r="B842" s="1214">
        <v>8.0</v>
      </c>
      <c r="C842" s="1214">
        <v>2.8</v>
      </c>
      <c r="D842" s="1214" t="str">
        <f t="shared" si="91"/>
        <v>22.40</v>
      </c>
      <c r="E842" s="1214"/>
      <c r="F842" s="1214"/>
      <c r="G842" s="1467" t="str">
        <f t="shared" si="92"/>
        <v>22.40</v>
      </c>
    </row>
    <row r="843" ht="14.25" customHeight="1">
      <c r="A843" s="1251" t="s">
        <v>2036</v>
      </c>
      <c r="B843" s="1214">
        <v>3.5</v>
      </c>
      <c r="C843" s="1214">
        <v>2.8</v>
      </c>
      <c r="D843" s="1214" t="str">
        <f t="shared" si="91"/>
        <v>9.80</v>
      </c>
      <c r="E843" s="1466" t="s">
        <v>2037</v>
      </c>
      <c r="F843" s="1214" t="str">
        <f>2.2*1.1</f>
        <v>2.42</v>
      </c>
      <c r="G843" s="1467" t="str">
        <f t="shared" si="92"/>
        <v>7.38</v>
      </c>
    </row>
    <row r="844" ht="14.25" customHeight="1">
      <c r="A844" s="1251" t="s">
        <v>2038</v>
      </c>
      <c r="B844" s="1214" t="str">
        <f>2.55+2</f>
        <v>4.55</v>
      </c>
      <c r="C844" s="1214">
        <v>2.8</v>
      </c>
      <c r="D844" s="1214" t="str">
        <f t="shared" si="91"/>
        <v>12.74</v>
      </c>
      <c r="E844" s="1214"/>
      <c r="F844" s="1214"/>
      <c r="G844" s="1467" t="str">
        <f t="shared" si="92"/>
        <v>12.74</v>
      </c>
    </row>
    <row r="845" ht="14.25" customHeight="1">
      <c r="A845" s="1537" t="s">
        <v>2039</v>
      </c>
      <c r="B845" s="1538">
        <v>4.0</v>
      </c>
      <c r="C845" s="1296">
        <v>2.8</v>
      </c>
      <c r="D845" s="1296" t="str">
        <f t="shared" si="91"/>
        <v>11.20</v>
      </c>
      <c r="E845" s="1295" t="s">
        <v>2040</v>
      </c>
      <c r="F845" s="1296" t="str">
        <f>(1.3*2.1)+(2.3*1.1)</f>
        <v>5.26</v>
      </c>
      <c r="G845" s="1539" t="str">
        <f t="shared" si="92"/>
        <v>5.94</v>
      </c>
    </row>
    <row r="846" ht="14.25" customHeight="1">
      <c r="A846" s="1537" t="s">
        <v>2041</v>
      </c>
      <c r="B846" s="1538" t="str">
        <f>2.15+1.35+1.5</f>
        <v>5.00</v>
      </c>
      <c r="C846" s="1296">
        <v>5.23</v>
      </c>
      <c r="D846" s="1296" t="str">
        <f t="shared" si="91"/>
        <v>26.15</v>
      </c>
      <c r="E846" s="1295" t="s">
        <v>2042</v>
      </c>
      <c r="F846" s="1296" t="str">
        <f>1.2*1.1+(0.8*2.1)+(0.9*2.1)</f>
        <v>4.89</v>
      </c>
      <c r="G846" s="1539" t="str">
        <f t="shared" si="92"/>
        <v>21.26</v>
      </c>
    </row>
    <row r="847" ht="14.25" customHeight="1">
      <c r="A847" s="1537" t="s">
        <v>2043</v>
      </c>
      <c r="B847" s="1538">
        <v>1.5</v>
      </c>
      <c r="C847" s="1296">
        <v>5.23</v>
      </c>
      <c r="D847" s="1296" t="str">
        <f t="shared" si="91"/>
        <v>7.85</v>
      </c>
      <c r="E847" s="1296"/>
      <c r="F847" s="1296"/>
      <c r="G847" s="1539" t="str">
        <f t="shared" si="92"/>
        <v>7.85</v>
      </c>
    </row>
    <row r="848" ht="14.25" customHeight="1">
      <c r="A848" s="1537" t="s">
        <v>2044</v>
      </c>
      <c r="B848" s="1538" t="str">
        <f>4.6+9.6</f>
        <v>14.20</v>
      </c>
      <c r="C848" s="1296">
        <v>4.73</v>
      </c>
      <c r="D848" s="1296" t="str">
        <f t="shared" si="91"/>
        <v>67.17</v>
      </c>
      <c r="E848" s="1295" t="s">
        <v>2045</v>
      </c>
      <c r="F848" s="1296" t="str">
        <f>2.3*1.1*2+(0.8*2.1)+(1*2.1)</f>
        <v>8.84</v>
      </c>
      <c r="G848" s="1539" t="str">
        <f t="shared" si="92"/>
        <v>58.33</v>
      </c>
    </row>
    <row r="849" ht="14.25" customHeight="1">
      <c r="A849" s="1537" t="s">
        <v>2046</v>
      </c>
      <c r="B849" s="1538">
        <v>4.6</v>
      </c>
      <c r="C849" s="1296">
        <v>1.93</v>
      </c>
      <c r="D849" s="1296" t="str">
        <f t="shared" si="91"/>
        <v>8.88</v>
      </c>
      <c r="E849" s="1296"/>
      <c r="F849" s="1296"/>
      <c r="G849" s="1539" t="str">
        <f t="shared" si="92"/>
        <v>8.88</v>
      </c>
    </row>
    <row r="850" ht="14.25" customHeight="1">
      <c r="A850" s="1536"/>
      <c r="B850" s="561"/>
      <c r="C850" s="561"/>
      <c r="D850" s="561"/>
      <c r="E850" s="561"/>
      <c r="F850" s="561"/>
      <c r="G850" s="124"/>
    </row>
    <row r="851" ht="14.25" customHeight="1">
      <c r="A851" s="1464" t="s">
        <v>2047</v>
      </c>
      <c r="B851" s="561"/>
      <c r="C851" s="561"/>
      <c r="D851" s="561"/>
      <c r="E851" s="561"/>
      <c r="F851" s="561"/>
      <c r="G851" s="124"/>
    </row>
    <row r="852" ht="14.25" customHeight="1">
      <c r="A852" s="1251" t="s">
        <v>2048</v>
      </c>
      <c r="B852" s="1469" t="str">
        <f t="shared" ref="B852:B853" si="93">7.5+4.65</f>
        <v>12.15</v>
      </c>
      <c r="C852" s="1214">
        <v>2.8</v>
      </c>
      <c r="D852" s="1214" t="str">
        <f t="shared" ref="D852:D860" si="94">B852*C852</f>
        <v>34.02</v>
      </c>
      <c r="E852" s="1466" t="s">
        <v>2049</v>
      </c>
      <c r="F852" s="1214" t="str">
        <f>(1.6*2.1)+(3*1.1*0.6)</f>
        <v>5.34</v>
      </c>
      <c r="G852" s="1467" t="str">
        <f t="shared" ref="G852:G860" si="95">D852-F852</f>
        <v>28.68</v>
      </c>
    </row>
    <row r="853" ht="14.25" customHeight="1">
      <c r="A853" s="1251" t="s">
        <v>2048</v>
      </c>
      <c r="B853" s="1469" t="str">
        <f t="shared" si="93"/>
        <v>12.15</v>
      </c>
      <c r="C853" s="1214">
        <v>2.8</v>
      </c>
      <c r="D853" s="1214" t="str">
        <f t="shared" si="94"/>
        <v>34.02</v>
      </c>
      <c r="E853" s="1214"/>
      <c r="F853" s="1214"/>
      <c r="G853" s="1467" t="str">
        <f t="shared" si="95"/>
        <v>34.02</v>
      </c>
    </row>
    <row r="854" ht="14.25" customHeight="1">
      <c r="A854" s="1251" t="s">
        <v>2050</v>
      </c>
      <c r="B854" s="1535" t="str">
        <f>8.85+10.35</f>
        <v>19.20</v>
      </c>
      <c r="C854" s="1214">
        <v>2.8</v>
      </c>
      <c r="D854" s="1214" t="str">
        <f t="shared" si="94"/>
        <v>53.76</v>
      </c>
      <c r="E854" s="1466" t="s">
        <v>2051</v>
      </c>
      <c r="F854" s="1214" t="str">
        <f>2.3*1.1*5</f>
        <v>12.65</v>
      </c>
      <c r="G854" s="1467" t="str">
        <f t="shared" si="95"/>
        <v>41.11</v>
      </c>
    </row>
    <row r="855" ht="14.25" customHeight="1">
      <c r="A855" s="1251" t="s">
        <v>2052</v>
      </c>
      <c r="B855" s="1535" t="str">
        <f>4.65+4</f>
        <v>8.65</v>
      </c>
      <c r="C855" s="1214">
        <v>2.8</v>
      </c>
      <c r="D855" s="1214" t="str">
        <f t="shared" si="94"/>
        <v>24.22</v>
      </c>
      <c r="E855" s="1214"/>
      <c r="F855" s="1214"/>
      <c r="G855" s="1467" t="str">
        <f t="shared" si="95"/>
        <v>24.22</v>
      </c>
    </row>
    <row r="856" ht="14.25" customHeight="1">
      <c r="A856" s="1251" t="s">
        <v>2053</v>
      </c>
      <c r="B856" s="1535">
        <v>5.5</v>
      </c>
      <c r="C856" s="1214">
        <v>2.8</v>
      </c>
      <c r="D856" s="1214" t="str">
        <f t="shared" si="94"/>
        <v>15.40</v>
      </c>
      <c r="E856" s="1466" t="s">
        <v>2054</v>
      </c>
      <c r="F856" s="1214" t="str">
        <f>2.3*1.1</f>
        <v>2.53</v>
      </c>
      <c r="G856" s="1467" t="str">
        <f t="shared" si="95"/>
        <v>12.87</v>
      </c>
    </row>
    <row r="857" ht="14.25" customHeight="1">
      <c r="A857" s="1251" t="s">
        <v>2055</v>
      </c>
      <c r="B857" s="1535">
        <v>4.5</v>
      </c>
      <c r="C857" s="1214">
        <v>2.8</v>
      </c>
      <c r="D857" s="1214" t="str">
        <f t="shared" si="94"/>
        <v>12.60</v>
      </c>
      <c r="E857" s="1214"/>
      <c r="F857" s="1214"/>
      <c r="G857" s="1467" t="str">
        <f t="shared" si="95"/>
        <v>12.60</v>
      </c>
    </row>
    <row r="858" ht="14.25" customHeight="1">
      <c r="A858" s="1537" t="s">
        <v>2056</v>
      </c>
      <c r="B858" s="1538">
        <v>5.0</v>
      </c>
      <c r="C858" s="1296">
        <v>2.8</v>
      </c>
      <c r="D858" s="1296" t="str">
        <f t="shared" si="94"/>
        <v>14.00</v>
      </c>
      <c r="E858" s="1296"/>
      <c r="F858" s="1296"/>
      <c r="G858" s="1539" t="str">
        <f t="shared" si="95"/>
        <v>14.00</v>
      </c>
    </row>
    <row r="859" ht="14.25" customHeight="1">
      <c r="A859" s="1537" t="s">
        <v>2057</v>
      </c>
      <c r="B859" s="1538">
        <v>9.0</v>
      </c>
      <c r="C859" s="1296">
        <v>2.8</v>
      </c>
      <c r="D859" s="1296" t="str">
        <f t="shared" si="94"/>
        <v>25.20</v>
      </c>
      <c r="E859" s="1296"/>
      <c r="F859" s="1296"/>
      <c r="G859" s="1539" t="str">
        <f t="shared" si="95"/>
        <v>25.20</v>
      </c>
    </row>
    <row r="860" ht="14.25" customHeight="1">
      <c r="A860" s="1537" t="s">
        <v>2058</v>
      </c>
      <c r="B860" s="1538">
        <v>6.15</v>
      </c>
      <c r="C860" s="1296">
        <v>5.23</v>
      </c>
      <c r="D860" s="1296" t="str">
        <f t="shared" si="94"/>
        <v>32.16</v>
      </c>
      <c r="E860" s="1295" t="s">
        <v>2205</v>
      </c>
      <c r="F860" s="1296" t="str">
        <f>(0.8*2.1*4)</f>
        <v>6.72</v>
      </c>
      <c r="G860" s="1539" t="str">
        <f t="shared" si="95"/>
        <v>25.44</v>
      </c>
    </row>
    <row r="861" ht="14.25" customHeight="1">
      <c r="A861" s="1536"/>
      <c r="B861" s="561"/>
      <c r="C861" s="561"/>
      <c r="D861" s="561"/>
      <c r="E861" s="561"/>
      <c r="F861" s="561"/>
      <c r="G861" s="124"/>
    </row>
    <row r="862" ht="14.25" customHeight="1">
      <c r="A862" s="1470" t="s">
        <v>2208</v>
      </c>
      <c r="B862" s="561"/>
      <c r="C862" s="561"/>
      <c r="D862" s="561"/>
      <c r="E862" s="561"/>
      <c r="F862" s="561"/>
      <c r="G862" s="124"/>
    </row>
    <row r="863" ht="14.25" customHeight="1">
      <c r="A863" s="1540"/>
      <c r="B863" s="1210"/>
      <c r="C863" s="1472" t="s">
        <v>2018</v>
      </c>
      <c r="D863" s="561"/>
      <c r="E863" s="561"/>
      <c r="F863" s="41"/>
      <c r="G863" s="1467"/>
    </row>
    <row r="864" ht="14.25" customHeight="1">
      <c r="A864" s="1421"/>
      <c r="B864" s="1418"/>
      <c r="C864" s="1473" t="s">
        <v>1467</v>
      </c>
      <c r="D864" s="561"/>
      <c r="E864" s="561"/>
      <c r="F864" s="41"/>
      <c r="G864" s="1541" t="str">
        <f>ROUNDUP(G828+G829+G830+G831+G832+G833+G834+G835,2)</f>
        <v>48.91</v>
      </c>
    </row>
    <row r="865" ht="14.25" customHeight="1">
      <c r="A865" s="1421"/>
      <c r="B865" s="1418"/>
      <c r="C865" s="1472" t="s">
        <v>2029</v>
      </c>
      <c r="D865" s="561"/>
      <c r="E865" s="561"/>
      <c r="F865" s="41"/>
      <c r="G865" s="1542"/>
    </row>
    <row r="866" ht="14.25" customHeight="1">
      <c r="A866" s="1421"/>
      <c r="B866" s="1418"/>
      <c r="C866" s="1473" t="s">
        <v>1467</v>
      </c>
      <c r="D866" s="561"/>
      <c r="E866" s="561"/>
      <c r="F866" s="41"/>
      <c r="G866" s="1541" t="str">
        <f>ROUNDUP(G838+G839+G840+G841+G842+G843+G844+G845+G846+G847+G848+G849,2)</f>
        <v>205.01</v>
      </c>
    </row>
    <row r="867" ht="14.25" customHeight="1">
      <c r="A867" s="1421"/>
      <c r="B867" s="1418"/>
      <c r="C867" s="1472" t="s">
        <v>2047</v>
      </c>
      <c r="D867" s="561"/>
      <c r="E867" s="561"/>
      <c r="F867" s="41"/>
      <c r="G867" s="1542"/>
    </row>
    <row r="868" ht="14.25" customHeight="1">
      <c r="A868" s="1213"/>
      <c r="B868" s="39"/>
      <c r="C868" s="1473" t="s">
        <v>1467</v>
      </c>
      <c r="D868" s="561"/>
      <c r="E868" s="561"/>
      <c r="F868" s="41"/>
      <c r="G868" s="1541" t="str">
        <f>ROUNDUP(G852+G858+G859+G853+G854+G856+G857+G860,2)</f>
        <v>193.93</v>
      </c>
    </row>
    <row r="869" ht="14.25" customHeight="1">
      <c r="A869" s="1543" t="s">
        <v>1623</v>
      </c>
      <c r="B869" s="127"/>
      <c r="C869" s="127"/>
      <c r="D869" s="127"/>
      <c r="E869" s="127"/>
      <c r="F869" s="712"/>
      <c r="G869" s="1544" t="str">
        <f>ROUNDUP(G864+G866+G868,2)</f>
        <v>447.85</v>
      </c>
    </row>
    <row r="870" ht="14.25" customHeight="1">
      <c r="A870" s="1276"/>
      <c r="B870" s="1277"/>
      <c r="C870" s="1277"/>
      <c r="D870" s="1277"/>
      <c r="E870" s="1277"/>
      <c r="F870" s="1277"/>
      <c r="G870" s="1278"/>
    </row>
    <row r="871" ht="14.25" customHeight="1">
      <c r="A871" s="1199" t="s">
        <v>574</v>
      </c>
      <c r="B871" s="1200" t="s">
        <v>2209</v>
      </c>
      <c r="C871" s="28"/>
      <c r="D871" s="28"/>
      <c r="E871" s="28"/>
      <c r="F871" s="28"/>
      <c r="G871" s="29"/>
    </row>
    <row r="872" ht="14.25" customHeight="1">
      <c r="A872" s="1281" t="s">
        <v>2203</v>
      </c>
      <c r="B872" s="1259"/>
      <c r="C872" s="1259"/>
      <c r="D872" s="1259"/>
      <c r="E872" s="1259"/>
      <c r="F872" s="1259"/>
      <c r="G872" s="1260"/>
    </row>
    <row r="873" ht="14.25" customHeight="1">
      <c r="A873" s="1208" t="s">
        <v>2204</v>
      </c>
      <c r="B873" s="561"/>
      <c r="C873" s="561"/>
      <c r="D873" s="561"/>
      <c r="E873" s="561"/>
      <c r="F873" s="561"/>
      <c r="G873" s="124"/>
    </row>
    <row r="874" ht="14.25" customHeight="1">
      <c r="A874" s="1426" t="s">
        <v>1585</v>
      </c>
      <c r="B874" s="1427" t="s">
        <v>1585</v>
      </c>
      <c r="C874" s="1427" t="s">
        <v>1899</v>
      </c>
      <c r="D874" s="1427" t="s">
        <v>1620</v>
      </c>
      <c r="E874" s="1427" t="s">
        <v>1900</v>
      </c>
      <c r="F874" s="1427" t="s">
        <v>1901</v>
      </c>
      <c r="G874" s="1463" t="s">
        <v>1902</v>
      </c>
    </row>
    <row r="875" ht="14.25" customHeight="1">
      <c r="A875" s="1464" t="s">
        <v>2018</v>
      </c>
      <c r="B875" s="561"/>
      <c r="C875" s="561"/>
      <c r="D875" s="561"/>
      <c r="E875" s="561"/>
      <c r="F875" s="561"/>
      <c r="G875" s="124"/>
    </row>
    <row r="876" ht="14.25" customHeight="1">
      <c r="A876" s="1251" t="s">
        <v>2019</v>
      </c>
      <c r="B876" s="1214">
        <v>1.5</v>
      </c>
      <c r="C876" s="1214">
        <v>2.8</v>
      </c>
      <c r="D876" s="1214" t="str">
        <f t="shared" ref="D876:D883" si="96">B876*C876</f>
        <v>4.20</v>
      </c>
      <c r="E876" s="1214"/>
      <c r="F876" s="1214"/>
      <c r="G876" s="1467" t="str">
        <f t="shared" ref="G876:G883" si="97">D876-F876</f>
        <v>4.20</v>
      </c>
    </row>
    <row r="877" ht="14.25" customHeight="1">
      <c r="A877" s="1251" t="s">
        <v>2020</v>
      </c>
      <c r="B877" s="1535">
        <v>1.95</v>
      </c>
      <c r="C877" s="1214">
        <v>2.8</v>
      </c>
      <c r="D877" s="1214" t="str">
        <f t="shared" si="96"/>
        <v>5.46</v>
      </c>
      <c r="E877" s="1466" t="s">
        <v>2021</v>
      </c>
      <c r="F877" s="1214" t="str">
        <f>(0.8*2.1)</f>
        <v>1.68</v>
      </c>
      <c r="G877" s="1467" t="str">
        <f t="shared" si="97"/>
        <v>3.78</v>
      </c>
    </row>
    <row r="878" ht="14.25" customHeight="1">
      <c r="A878" s="1251" t="s">
        <v>2022</v>
      </c>
      <c r="B878" s="1214" t="str">
        <f t="shared" ref="B878:B879" si="98">1.05+2.85+3.85+1.85+1.08+2</f>
        <v>12.68</v>
      </c>
      <c r="C878" s="1214">
        <v>0.7</v>
      </c>
      <c r="D878" s="1214" t="str">
        <f t="shared" si="96"/>
        <v>8.88</v>
      </c>
      <c r="E878" s="1214"/>
      <c r="F878" s="1214"/>
      <c r="G878" s="1467" t="str">
        <f t="shared" si="97"/>
        <v>8.88</v>
      </c>
    </row>
    <row r="879" ht="14.25" customHeight="1">
      <c r="A879" s="1251" t="s">
        <v>2023</v>
      </c>
      <c r="B879" s="1214" t="str">
        <f t="shared" si="98"/>
        <v>12.68</v>
      </c>
      <c r="C879" s="1214">
        <v>0.7</v>
      </c>
      <c r="D879" s="1214" t="str">
        <f t="shared" si="96"/>
        <v>8.88</v>
      </c>
      <c r="E879" s="1214"/>
      <c r="F879" s="1214"/>
      <c r="G879" s="1467" t="str">
        <f t="shared" si="97"/>
        <v>8.88</v>
      </c>
    </row>
    <row r="880" ht="14.25" customHeight="1">
      <c r="A880" s="1251" t="s">
        <v>2062</v>
      </c>
      <c r="B880" s="1214" t="str">
        <f t="shared" ref="B880:B881" si="99">1.85+1.65+1.85+1.65</f>
        <v>7.00</v>
      </c>
      <c r="C880" s="1214">
        <v>0.7</v>
      </c>
      <c r="D880" s="1214" t="str">
        <f t="shared" si="96"/>
        <v>4.90</v>
      </c>
      <c r="E880" s="1214"/>
      <c r="F880" s="1214"/>
      <c r="G880" s="1467" t="str">
        <f t="shared" si="97"/>
        <v>4.90</v>
      </c>
    </row>
    <row r="881" ht="14.25" customHeight="1">
      <c r="A881" s="1251" t="s">
        <v>2063</v>
      </c>
      <c r="B881" s="1214" t="str">
        <f t="shared" si="99"/>
        <v>7.00</v>
      </c>
      <c r="C881" s="1214">
        <v>0.7</v>
      </c>
      <c r="D881" s="1214" t="str">
        <f t="shared" si="96"/>
        <v>4.90</v>
      </c>
      <c r="E881" s="1214"/>
      <c r="F881" s="1214"/>
      <c r="G881" s="1467" t="str">
        <f t="shared" si="97"/>
        <v>4.90</v>
      </c>
    </row>
    <row r="882" ht="14.25" customHeight="1">
      <c r="A882" s="1251" t="s">
        <v>2027</v>
      </c>
      <c r="B882" s="1214" t="str">
        <f>1.35+1.35+2.35+2.35</f>
        <v>7.40</v>
      </c>
      <c r="C882" s="1214">
        <v>0.7</v>
      </c>
      <c r="D882" s="1214" t="str">
        <f t="shared" si="96"/>
        <v>5.18</v>
      </c>
      <c r="E882" s="1214"/>
      <c r="F882" s="1214"/>
      <c r="G882" s="1467" t="str">
        <f t="shared" si="97"/>
        <v>5.18</v>
      </c>
    </row>
    <row r="883" ht="14.25" customHeight="1">
      <c r="A883" s="1251" t="s">
        <v>2028</v>
      </c>
      <c r="B883" s="1214" t="str">
        <f>3.85+3.85+2+2</f>
        <v>11.70</v>
      </c>
      <c r="C883" s="1214">
        <v>0.7</v>
      </c>
      <c r="D883" s="1214" t="str">
        <f t="shared" si="96"/>
        <v>8.19</v>
      </c>
      <c r="E883" s="1214"/>
      <c r="F883" s="1214"/>
      <c r="G883" s="1467" t="str">
        <f t="shared" si="97"/>
        <v>8.19</v>
      </c>
    </row>
    <row r="884" ht="14.25" customHeight="1">
      <c r="A884" s="1536"/>
      <c r="B884" s="561"/>
      <c r="C884" s="561"/>
      <c r="D884" s="561"/>
      <c r="E884" s="561"/>
      <c r="F884" s="561"/>
      <c r="G884" s="124"/>
    </row>
    <row r="885" ht="14.25" customHeight="1">
      <c r="A885" s="1464" t="s">
        <v>2029</v>
      </c>
      <c r="B885" s="561"/>
      <c r="C885" s="561"/>
      <c r="D885" s="561"/>
      <c r="E885" s="561"/>
      <c r="F885" s="561"/>
      <c r="G885" s="124"/>
    </row>
    <row r="886" ht="14.25" customHeight="1">
      <c r="A886" s="1251" t="s">
        <v>2030</v>
      </c>
      <c r="B886" s="1214">
        <v>3.5</v>
      </c>
      <c r="C886" s="1214">
        <v>2.8</v>
      </c>
      <c r="D886" s="1214" t="str">
        <f t="shared" ref="D886:D897" si="100">B886*C886</f>
        <v>9.80</v>
      </c>
      <c r="E886" s="1466" t="s">
        <v>2021</v>
      </c>
      <c r="F886" s="1214" t="str">
        <f>(0.8*2.1)</f>
        <v>1.68</v>
      </c>
      <c r="G886" s="1467" t="str">
        <f t="shared" ref="G886:G897" si="101">D886-F886</f>
        <v>8.12</v>
      </c>
    </row>
    <row r="887" ht="14.25" customHeight="1">
      <c r="A887" s="1251" t="s">
        <v>2031</v>
      </c>
      <c r="B887" s="1214" t="str">
        <f>3.15+3.5</f>
        <v>6.65</v>
      </c>
      <c r="C887" s="1214">
        <v>2.8</v>
      </c>
      <c r="D887" s="1214" t="str">
        <f t="shared" si="100"/>
        <v>18.62</v>
      </c>
      <c r="E887" s="1466" t="s">
        <v>2032</v>
      </c>
      <c r="F887" s="1214" t="str">
        <f>(0.8*2.1)+(1.1*0.6*2)</f>
        <v>3.00</v>
      </c>
      <c r="G887" s="1467" t="str">
        <f t="shared" si="101"/>
        <v>15.62</v>
      </c>
    </row>
    <row r="888" ht="14.25" customHeight="1">
      <c r="A888" s="1251" t="s">
        <v>2033</v>
      </c>
      <c r="B888" s="1214" t="str">
        <f>3.35+3.15</f>
        <v>6.50</v>
      </c>
      <c r="C888" s="1214">
        <v>2.8</v>
      </c>
      <c r="D888" s="1214" t="str">
        <f t="shared" si="100"/>
        <v>18.20</v>
      </c>
      <c r="E888" s="1214"/>
      <c r="F888" s="1214"/>
      <c r="G888" s="1467" t="str">
        <f t="shared" si="101"/>
        <v>18.20</v>
      </c>
    </row>
    <row r="889" ht="14.25" customHeight="1">
      <c r="A889" s="1251" t="s">
        <v>2034</v>
      </c>
      <c r="B889" s="1214">
        <v>8.0</v>
      </c>
      <c r="C889" s="1214">
        <v>2.8</v>
      </c>
      <c r="D889" s="1214" t="str">
        <f t="shared" si="100"/>
        <v>22.40</v>
      </c>
      <c r="E889" s="1466" t="s">
        <v>2035</v>
      </c>
      <c r="F889" s="1214" t="str">
        <f>(2.2*1.1)+(0.8*2.1)</f>
        <v>4.10</v>
      </c>
      <c r="G889" s="1467" t="str">
        <f t="shared" si="101"/>
        <v>18.30</v>
      </c>
    </row>
    <row r="890" ht="14.25" customHeight="1">
      <c r="A890" s="1251" t="s">
        <v>2034</v>
      </c>
      <c r="B890" s="1214">
        <v>8.0</v>
      </c>
      <c r="C890" s="1214">
        <v>2.8</v>
      </c>
      <c r="D890" s="1214" t="str">
        <f t="shared" si="100"/>
        <v>22.40</v>
      </c>
      <c r="E890" s="1214"/>
      <c r="F890" s="1214"/>
      <c r="G890" s="1467" t="str">
        <f t="shared" si="101"/>
        <v>22.40</v>
      </c>
    </row>
    <row r="891" ht="14.25" customHeight="1">
      <c r="A891" s="1251" t="s">
        <v>2036</v>
      </c>
      <c r="B891" s="1214">
        <v>3.5</v>
      </c>
      <c r="C891" s="1214">
        <v>2.8</v>
      </c>
      <c r="D891" s="1214" t="str">
        <f t="shared" si="100"/>
        <v>9.80</v>
      </c>
      <c r="E891" s="1466" t="s">
        <v>2037</v>
      </c>
      <c r="F891" s="1214" t="str">
        <f>2.2*1.1</f>
        <v>2.42</v>
      </c>
      <c r="G891" s="1467" t="str">
        <f t="shared" si="101"/>
        <v>7.38</v>
      </c>
    </row>
    <row r="892" ht="14.25" customHeight="1">
      <c r="A892" s="1251" t="s">
        <v>2038</v>
      </c>
      <c r="B892" s="1214" t="str">
        <f>2.55+2</f>
        <v>4.55</v>
      </c>
      <c r="C892" s="1214">
        <v>2.8</v>
      </c>
      <c r="D892" s="1214" t="str">
        <f t="shared" si="100"/>
        <v>12.74</v>
      </c>
      <c r="E892" s="1214"/>
      <c r="F892" s="1214"/>
      <c r="G892" s="1467" t="str">
        <f t="shared" si="101"/>
        <v>12.74</v>
      </c>
    </row>
    <row r="893" ht="14.25" customHeight="1">
      <c r="A893" s="1537" t="s">
        <v>2039</v>
      </c>
      <c r="B893" s="1538">
        <v>4.0</v>
      </c>
      <c r="C893" s="1296">
        <v>2.8</v>
      </c>
      <c r="D893" s="1296" t="str">
        <f t="shared" si="100"/>
        <v>11.20</v>
      </c>
      <c r="E893" s="1295" t="s">
        <v>2040</v>
      </c>
      <c r="F893" s="1296" t="str">
        <f>(1.3*2.1)+(2.3*1.1)</f>
        <v>5.26</v>
      </c>
      <c r="G893" s="1539" t="str">
        <f t="shared" si="101"/>
        <v>5.94</v>
      </c>
    </row>
    <row r="894" ht="14.25" customHeight="1">
      <c r="A894" s="1537" t="s">
        <v>2041</v>
      </c>
      <c r="B894" s="1538" t="str">
        <f>2.15+1.35+1.5</f>
        <v>5.00</v>
      </c>
      <c r="C894" s="1296">
        <v>5.23</v>
      </c>
      <c r="D894" s="1296" t="str">
        <f t="shared" si="100"/>
        <v>26.15</v>
      </c>
      <c r="E894" s="1295" t="s">
        <v>2042</v>
      </c>
      <c r="F894" s="1296" t="str">
        <f>1.2*1.1+(0.8*2.1)+(0.9*2.1)</f>
        <v>4.89</v>
      </c>
      <c r="G894" s="1539" t="str">
        <f t="shared" si="101"/>
        <v>21.26</v>
      </c>
    </row>
    <row r="895" ht="14.25" customHeight="1">
      <c r="A895" s="1537" t="s">
        <v>2043</v>
      </c>
      <c r="B895" s="1538">
        <v>1.5</v>
      </c>
      <c r="C895" s="1296">
        <v>5.23</v>
      </c>
      <c r="D895" s="1296" t="str">
        <f t="shared" si="100"/>
        <v>7.85</v>
      </c>
      <c r="E895" s="1296"/>
      <c r="F895" s="1296"/>
      <c r="G895" s="1539" t="str">
        <f t="shared" si="101"/>
        <v>7.85</v>
      </c>
    </row>
    <row r="896" ht="14.25" customHeight="1">
      <c r="A896" s="1537" t="s">
        <v>2044</v>
      </c>
      <c r="B896" s="1538" t="str">
        <f>4.6+9.6</f>
        <v>14.20</v>
      </c>
      <c r="C896" s="1296">
        <v>4.73</v>
      </c>
      <c r="D896" s="1296" t="str">
        <f t="shared" si="100"/>
        <v>67.17</v>
      </c>
      <c r="E896" s="1295" t="s">
        <v>2045</v>
      </c>
      <c r="F896" s="1296" t="str">
        <f>2.3*1.1*2+(0.8*2.1)+(1*2.1)</f>
        <v>8.84</v>
      </c>
      <c r="G896" s="1539" t="str">
        <f t="shared" si="101"/>
        <v>58.33</v>
      </c>
    </row>
    <row r="897" ht="14.25" customHeight="1">
      <c r="A897" s="1537" t="s">
        <v>2046</v>
      </c>
      <c r="B897" s="1538">
        <v>4.6</v>
      </c>
      <c r="C897" s="1296">
        <v>1.93</v>
      </c>
      <c r="D897" s="1296" t="str">
        <f t="shared" si="100"/>
        <v>8.88</v>
      </c>
      <c r="E897" s="1296"/>
      <c r="F897" s="1296"/>
      <c r="G897" s="1539" t="str">
        <f t="shared" si="101"/>
        <v>8.88</v>
      </c>
    </row>
    <row r="898" ht="14.25" customHeight="1">
      <c r="A898" s="1536"/>
      <c r="B898" s="561"/>
      <c r="C898" s="561"/>
      <c r="D898" s="561"/>
      <c r="E898" s="561"/>
      <c r="F898" s="561"/>
      <c r="G898" s="124"/>
    </row>
    <row r="899" ht="14.25" customHeight="1">
      <c r="A899" s="1464" t="s">
        <v>2047</v>
      </c>
      <c r="B899" s="561"/>
      <c r="C899" s="561"/>
      <c r="D899" s="561"/>
      <c r="E899" s="561"/>
      <c r="F899" s="561"/>
      <c r="G899" s="124"/>
    </row>
    <row r="900" ht="14.25" customHeight="1">
      <c r="A900" s="1251" t="s">
        <v>2048</v>
      </c>
      <c r="B900" s="1469" t="str">
        <f t="shared" ref="B900:B901" si="102">7.5+4.65</f>
        <v>12.15</v>
      </c>
      <c r="C900" s="1214">
        <v>2.8</v>
      </c>
      <c r="D900" s="1214" t="str">
        <f t="shared" ref="D900:D908" si="103">B900*C900</f>
        <v>34.02</v>
      </c>
      <c r="E900" s="1466" t="s">
        <v>2049</v>
      </c>
      <c r="F900" s="1214" t="str">
        <f>(1.6*2.1)+(3*1.1*0.6)</f>
        <v>5.34</v>
      </c>
      <c r="G900" s="1467" t="str">
        <f t="shared" ref="G900:G908" si="104">D900-F900</f>
        <v>28.68</v>
      </c>
    </row>
    <row r="901" ht="14.25" customHeight="1">
      <c r="A901" s="1251" t="s">
        <v>2048</v>
      </c>
      <c r="B901" s="1469" t="str">
        <f t="shared" si="102"/>
        <v>12.15</v>
      </c>
      <c r="C901" s="1214">
        <v>2.8</v>
      </c>
      <c r="D901" s="1214" t="str">
        <f t="shared" si="103"/>
        <v>34.02</v>
      </c>
      <c r="E901" s="1214"/>
      <c r="F901" s="1214"/>
      <c r="G901" s="1467" t="str">
        <f t="shared" si="104"/>
        <v>34.02</v>
      </c>
    </row>
    <row r="902" ht="14.25" customHeight="1">
      <c r="A902" s="1251" t="s">
        <v>2050</v>
      </c>
      <c r="B902" s="1535" t="str">
        <f>8.85+10.35</f>
        <v>19.20</v>
      </c>
      <c r="C902" s="1214">
        <v>2.8</v>
      </c>
      <c r="D902" s="1214" t="str">
        <f t="shared" si="103"/>
        <v>53.76</v>
      </c>
      <c r="E902" s="1466" t="s">
        <v>2051</v>
      </c>
      <c r="F902" s="1214" t="str">
        <f>2.3*1.1*5</f>
        <v>12.65</v>
      </c>
      <c r="G902" s="1467" t="str">
        <f t="shared" si="104"/>
        <v>41.11</v>
      </c>
    </row>
    <row r="903" ht="14.25" customHeight="1">
      <c r="A903" s="1251" t="s">
        <v>2052</v>
      </c>
      <c r="B903" s="1535" t="str">
        <f>4.65+4</f>
        <v>8.65</v>
      </c>
      <c r="C903" s="1214">
        <v>2.8</v>
      </c>
      <c r="D903" s="1214" t="str">
        <f t="shared" si="103"/>
        <v>24.22</v>
      </c>
      <c r="E903" s="1214"/>
      <c r="F903" s="1214"/>
      <c r="G903" s="1467" t="str">
        <f t="shared" si="104"/>
        <v>24.22</v>
      </c>
    </row>
    <row r="904" ht="14.25" customHeight="1">
      <c r="A904" s="1251" t="s">
        <v>2053</v>
      </c>
      <c r="B904" s="1535">
        <v>5.5</v>
      </c>
      <c r="C904" s="1214">
        <v>2.8</v>
      </c>
      <c r="D904" s="1214" t="str">
        <f t="shared" si="103"/>
        <v>15.40</v>
      </c>
      <c r="E904" s="1466" t="s">
        <v>2054</v>
      </c>
      <c r="F904" s="1214" t="str">
        <f>2.3*1.1</f>
        <v>2.53</v>
      </c>
      <c r="G904" s="1467" t="str">
        <f t="shared" si="104"/>
        <v>12.87</v>
      </c>
    </row>
    <row r="905" ht="14.25" customHeight="1">
      <c r="A905" s="1251" t="s">
        <v>2055</v>
      </c>
      <c r="B905" s="1535">
        <v>4.5</v>
      </c>
      <c r="C905" s="1214">
        <v>2.8</v>
      </c>
      <c r="D905" s="1214" t="str">
        <f t="shared" si="103"/>
        <v>12.60</v>
      </c>
      <c r="E905" s="1214"/>
      <c r="F905" s="1214"/>
      <c r="G905" s="1467" t="str">
        <f t="shared" si="104"/>
        <v>12.60</v>
      </c>
    </row>
    <row r="906" ht="14.25" customHeight="1">
      <c r="A906" s="1537" t="s">
        <v>2056</v>
      </c>
      <c r="B906" s="1538">
        <v>5.0</v>
      </c>
      <c r="C906" s="1296">
        <v>2.8</v>
      </c>
      <c r="D906" s="1296" t="str">
        <f t="shared" si="103"/>
        <v>14.00</v>
      </c>
      <c r="E906" s="1296"/>
      <c r="F906" s="1296"/>
      <c r="G906" s="1539" t="str">
        <f t="shared" si="104"/>
        <v>14.00</v>
      </c>
    </row>
    <row r="907" ht="14.25" customHeight="1">
      <c r="A907" s="1537" t="s">
        <v>2057</v>
      </c>
      <c r="B907" s="1538">
        <v>9.0</v>
      </c>
      <c r="C907" s="1296">
        <v>2.8</v>
      </c>
      <c r="D907" s="1296" t="str">
        <f t="shared" si="103"/>
        <v>25.20</v>
      </c>
      <c r="E907" s="1296"/>
      <c r="F907" s="1296"/>
      <c r="G907" s="1539" t="str">
        <f t="shared" si="104"/>
        <v>25.20</v>
      </c>
    </row>
    <row r="908" ht="14.25" customHeight="1">
      <c r="A908" s="1537" t="s">
        <v>2058</v>
      </c>
      <c r="B908" s="1538">
        <v>6.15</v>
      </c>
      <c r="C908" s="1296">
        <v>5.23</v>
      </c>
      <c r="D908" s="1296" t="str">
        <f t="shared" si="103"/>
        <v>32.16</v>
      </c>
      <c r="E908" s="1295" t="s">
        <v>2205</v>
      </c>
      <c r="F908" s="1296" t="str">
        <f>(0.8*2.1*4)</f>
        <v>6.72</v>
      </c>
      <c r="G908" s="1539" t="str">
        <f t="shared" si="104"/>
        <v>25.44</v>
      </c>
    </row>
    <row r="909" ht="14.25" customHeight="1">
      <c r="A909" s="1536"/>
      <c r="B909" s="561"/>
      <c r="C909" s="561"/>
      <c r="D909" s="561"/>
      <c r="E909" s="561"/>
      <c r="F909" s="561"/>
      <c r="G909" s="124"/>
    </row>
    <row r="910" ht="14.25" customHeight="1">
      <c r="A910" s="1470" t="s">
        <v>2210</v>
      </c>
      <c r="B910" s="561"/>
      <c r="C910" s="561"/>
      <c r="D910" s="561"/>
      <c r="E910" s="561"/>
      <c r="F910" s="561"/>
      <c r="G910" s="124"/>
    </row>
    <row r="911" ht="14.25" customHeight="1">
      <c r="A911" s="1540"/>
      <c r="B911" s="1210"/>
      <c r="C911" s="1472" t="s">
        <v>2018</v>
      </c>
      <c r="D911" s="561"/>
      <c r="E911" s="561"/>
      <c r="F911" s="41"/>
      <c r="G911" s="1467"/>
    </row>
    <row r="912" ht="14.25" customHeight="1">
      <c r="A912" s="1421"/>
      <c r="B912" s="1418"/>
      <c r="C912" s="1473" t="s">
        <v>1467</v>
      </c>
      <c r="D912" s="561"/>
      <c r="E912" s="561"/>
      <c r="F912" s="41"/>
      <c r="G912" s="1541" t="str">
        <f>ROUNDUP(G876+G877+G878+G879+G880+G881+G882+G883,2)</f>
        <v>48.91</v>
      </c>
    </row>
    <row r="913" ht="14.25" customHeight="1">
      <c r="A913" s="1421"/>
      <c r="B913" s="1418"/>
      <c r="C913" s="1472" t="s">
        <v>2029</v>
      </c>
      <c r="D913" s="561"/>
      <c r="E913" s="561"/>
      <c r="F913" s="41"/>
      <c r="G913" s="1542"/>
    </row>
    <row r="914" ht="14.25" customHeight="1">
      <c r="A914" s="1421"/>
      <c r="B914" s="1418"/>
      <c r="C914" s="1473" t="s">
        <v>1467</v>
      </c>
      <c r="D914" s="561"/>
      <c r="E914" s="561"/>
      <c r="F914" s="41"/>
      <c r="G914" s="1541" t="str">
        <f>ROUNDUP(G886+G887+G888+G889+G890+G891+G892+G893+G894+G895+G896+G897,2)</f>
        <v>205.01</v>
      </c>
    </row>
    <row r="915" ht="14.25" customHeight="1">
      <c r="A915" s="1421"/>
      <c r="B915" s="1418"/>
      <c r="C915" s="1472" t="s">
        <v>2047</v>
      </c>
      <c r="D915" s="561"/>
      <c r="E915" s="561"/>
      <c r="F915" s="41"/>
      <c r="G915" s="1542"/>
    </row>
    <row r="916" ht="14.25" customHeight="1">
      <c r="A916" s="1213"/>
      <c r="B916" s="39"/>
      <c r="C916" s="1473" t="s">
        <v>1467</v>
      </c>
      <c r="D916" s="561"/>
      <c r="E916" s="561"/>
      <c r="F916" s="41"/>
      <c r="G916" s="1541" t="str">
        <f>ROUNDUP(G900+G906+G907+G901+G902+G904+G905+G908,2)</f>
        <v>193.93</v>
      </c>
    </row>
    <row r="917" ht="14.25" customHeight="1">
      <c r="A917" s="1543" t="s">
        <v>1623</v>
      </c>
      <c r="B917" s="127"/>
      <c r="C917" s="127"/>
      <c r="D917" s="127"/>
      <c r="E917" s="127"/>
      <c r="F917" s="712"/>
      <c r="G917" s="1544" t="str">
        <f>ROUNDUP(G912+G914+G916,2)</f>
        <v>447.85</v>
      </c>
    </row>
    <row r="918" ht="14.25" customHeight="1">
      <c r="A918" s="1276"/>
      <c r="B918" s="1277"/>
      <c r="C918" s="1277"/>
      <c r="D918" s="1277"/>
      <c r="E918" s="1277"/>
      <c r="F918" s="1277"/>
      <c r="G918" s="1278"/>
    </row>
    <row r="919" ht="14.25" customHeight="1">
      <c r="A919" s="1199" t="s">
        <v>577</v>
      </c>
      <c r="B919" s="1200" t="s">
        <v>2211</v>
      </c>
      <c r="C919" s="28"/>
      <c r="D919" s="28"/>
      <c r="E919" s="28"/>
      <c r="F919" s="28"/>
      <c r="G919" s="29"/>
    </row>
    <row r="920" ht="14.25" customHeight="1">
      <c r="A920" s="1207" t="s">
        <v>2119</v>
      </c>
      <c r="B920" s="107"/>
      <c r="C920" s="107"/>
      <c r="D920" s="107"/>
      <c r="E920" s="107"/>
      <c r="F920" s="107"/>
      <c r="G920" s="781"/>
    </row>
    <row r="921" ht="14.25" customHeight="1">
      <c r="A921" s="1208" t="s">
        <v>2120</v>
      </c>
      <c r="B921" s="561"/>
      <c r="C921" s="561"/>
      <c r="D921" s="561"/>
      <c r="E921" s="561"/>
      <c r="F921" s="561"/>
      <c r="G921" s="124"/>
    </row>
    <row r="922" ht="14.25" customHeight="1">
      <c r="A922" s="1470" t="s">
        <v>1967</v>
      </c>
      <c r="B922" s="41"/>
      <c r="C922" s="1427" t="s">
        <v>1585</v>
      </c>
      <c r="D922" s="1427" t="s">
        <v>1579</v>
      </c>
      <c r="E922" s="1429" t="s">
        <v>1580</v>
      </c>
      <c r="F922" s="561"/>
      <c r="G922" s="124"/>
    </row>
    <row r="923" ht="14.25" customHeight="1">
      <c r="A923" s="1515" t="s">
        <v>2121</v>
      </c>
      <c r="B923" s="1210"/>
      <c r="C923" s="1296">
        <v>24.3</v>
      </c>
      <c r="D923" s="1307">
        <v>34.87</v>
      </c>
      <c r="E923" s="1307"/>
      <c r="F923" s="854"/>
      <c r="G923" s="855"/>
    </row>
    <row r="924" ht="14.25" customHeight="1">
      <c r="A924" s="1515" t="s">
        <v>2123</v>
      </c>
      <c r="B924" s="1210"/>
      <c r="C924" s="1296">
        <v>35.7</v>
      </c>
      <c r="D924" s="1307">
        <v>72.37</v>
      </c>
      <c r="E924" s="1258"/>
      <c r="G924" s="571"/>
    </row>
    <row r="925" ht="14.25" customHeight="1">
      <c r="A925" s="1515" t="s">
        <v>2124</v>
      </c>
      <c r="B925" s="1210"/>
      <c r="C925" s="1296">
        <v>13.0</v>
      </c>
      <c r="D925" s="1307">
        <v>10.55</v>
      </c>
      <c r="E925" s="1258"/>
      <c r="G925" s="571"/>
    </row>
    <row r="926" ht="14.25" customHeight="1">
      <c r="A926" s="1515" t="s">
        <v>2125</v>
      </c>
      <c r="B926" s="1210"/>
      <c r="C926" s="1296">
        <v>16.0</v>
      </c>
      <c r="D926" s="1307">
        <v>16.0</v>
      </c>
      <c r="E926" s="1258"/>
      <c r="G926" s="571"/>
    </row>
    <row r="927" ht="14.25" customHeight="1">
      <c r="A927" s="1515" t="s">
        <v>2126</v>
      </c>
      <c r="B927" s="1210"/>
      <c r="C927" s="1296">
        <v>20.0</v>
      </c>
      <c r="D927" s="1307">
        <v>19.64</v>
      </c>
      <c r="E927" s="1258"/>
      <c r="G927" s="571"/>
    </row>
    <row r="928" ht="14.25" customHeight="1">
      <c r="A928" s="1515" t="s">
        <v>2127</v>
      </c>
      <c r="B928" s="1210"/>
      <c r="C928" s="1296">
        <v>18.0</v>
      </c>
      <c r="D928" s="1307">
        <v>20.0</v>
      </c>
      <c r="E928" s="1258"/>
      <c r="G928" s="571"/>
    </row>
    <row r="929" ht="14.25" customHeight="1">
      <c r="A929" s="1515" t="s">
        <v>2128</v>
      </c>
      <c r="B929" s="1210"/>
      <c r="C929" s="1296">
        <v>11.7</v>
      </c>
      <c r="D929" s="1307">
        <v>7.7</v>
      </c>
      <c r="E929" s="1258"/>
      <c r="G929" s="571"/>
    </row>
    <row r="930" ht="14.25" customHeight="1">
      <c r="A930" s="1515" t="s">
        <v>2129</v>
      </c>
      <c r="B930" s="1210"/>
      <c r="C930" s="1296">
        <v>7.4</v>
      </c>
      <c r="D930" s="1307">
        <v>3.18</v>
      </c>
      <c r="E930" s="1258"/>
      <c r="G930" s="571"/>
    </row>
    <row r="931" ht="14.25" customHeight="1">
      <c r="A931" s="1515" t="s">
        <v>2130</v>
      </c>
      <c r="B931" s="1210"/>
      <c r="C931" s="1296">
        <v>13.39</v>
      </c>
      <c r="D931" s="1307">
        <v>7.68</v>
      </c>
      <c r="E931" s="1258"/>
      <c r="G931" s="571"/>
    </row>
    <row r="932" ht="14.25" customHeight="1">
      <c r="A932" s="1515" t="s">
        <v>2131</v>
      </c>
      <c r="B932" s="1210"/>
      <c r="C932" s="1296">
        <v>3.05</v>
      </c>
      <c r="D932" s="1307">
        <v>2.78</v>
      </c>
      <c r="E932" s="1258"/>
      <c r="G932" s="571"/>
    </row>
    <row r="933" ht="14.25" customHeight="1">
      <c r="A933" s="1515" t="s">
        <v>2132</v>
      </c>
      <c r="B933" s="1210"/>
      <c r="C933" s="1296">
        <v>3.05</v>
      </c>
      <c r="D933" s="1307">
        <v>7.68</v>
      </c>
      <c r="E933" s="1258"/>
      <c r="G933" s="571"/>
    </row>
    <row r="934" ht="14.25" customHeight="1">
      <c r="A934" s="1515" t="s">
        <v>2133</v>
      </c>
      <c r="B934" s="1210"/>
      <c r="C934" s="1296">
        <v>13.39</v>
      </c>
      <c r="D934" s="1307">
        <v>2.78</v>
      </c>
      <c r="E934" s="1258"/>
      <c r="G934" s="571"/>
    </row>
    <row r="935" ht="14.25" customHeight="1">
      <c r="A935" s="1515" t="s">
        <v>1968</v>
      </c>
      <c r="B935" s="1210"/>
      <c r="C935" s="1296">
        <v>36.45</v>
      </c>
      <c r="D935" s="1307">
        <v>33.98</v>
      </c>
      <c r="E935" s="1258"/>
      <c r="G935" s="571"/>
    </row>
    <row r="936" ht="14.25" customHeight="1">
      <c r="A936" s="1294" t="s">
        <v>2212</v>
      </c>
      <c r="B936" s="41"/>
      <c r="C936" s="1296">
        <v>13.3</v>
      </c>
      <c r="D936" s="1307">
        <v>10.61</v>
      </c>
      <c r="E936" s="1258"/>
      <c r="G936" s="571"/>
    </row>
    <row r="937" ht="14.25" customHeight="1">
      <c r="A937" s="1515" t="s">
        <v>2213</v>
      </c>
      <c r="B937" s="1210"/>
      <c r="C937" s="1296" t="str">
        <f>36.45+0.8+0.8</f>
        <v>38.05</v>
      </c>
      <c r="D937" s="1307" t="str">
        <f>38.05*0.2</f>
        <v>7.61</v>
      </c>
      <c r="E937" s="1258"/>
      <c r="G937" s="571"/>
    </row>
    <row r="938" ht="14.25" customHeight="1">
      <c r="A938" s="1516"/>
      <c r="B938" s="1517"/>
      <c r="C938" s="1518" t="s">
        <v>1467</v>
      </c>
      <c r="D938" s="1519" t="str">
        <f>SUM(D923:D937)</f>
        <v>257.43</v>
      </c>
      <c r="E938" s="1520"/>
      <c r="F938" s="21"/>
      <c r="G938" s="1521"/>
    </row>
    <row r="939" ht="14.25" customHeight="1">
      <c r="A939" s="1276"/>
      <c r="B939" s="1277"/>
      <c r="C939" s="1277"/>
      <c r="D939" s="1277"/>
      <c r="E939" s="1277"/>
      <c r="F939" s="1277"/>
      <c r="G939" s="1278"/>
    </row>
    <row r="940" ht="14.25" customHeight="1">
      <c r="A940" s="1199" t="s">
        <v>580</v>
      </c>
      <c r="B940" s="1200" t="s">
        <v>2214</v>
      </c>
      <c r="C940" s="28"/>
      <c r="D940" s="28"/>
      <c r="E940" s="28"/>
      <c r="F940" s="28"/>
      <c r="G940" s="29"/>
    </row>
    <row r="941" ht="14.25" customHeight="1">
      <c r="A941" s="1207" t="s">
        <v>2119</v>
      </c>
      <c r="B941" s="107"/>
      <c r="C941" s="107"/>
      <c r="D941" s="107"/>
      <c r="E941" s="107"/>
      <c r="F941" s="107"/>
      <c r="G941" s="781"/>
    </row>
    <row r="942" ht="14.25" customHeight="1">
      <c r="A942" s="1208" t="s">
        <v>2120</v>
      </c>
      <c r="B942" s="561"/>
      <c r="C942" s="561"/>
      <c r="D942" s="561"/>
      <c r="E942" s="561"/>
      <c r="F942" s="561"/>
      <c r="G942" s="124"/>
    </row>
    <row r="943" ht="14.25" customHeight="1">
      <c r="A943" s="1470" t="s">
        <v>1967</v>
      </c>
      <c r="B943" s="41"/>
      <c r="C943" s="1427" t="s">
        <v>1585</v>
      </c>
      <c r="D943" s="1427" t="s">
        <v>1579</v>
      </c>
      <c r="E943" s="1429" t="s">
        <v>1580</v>
      </c>
      <c r="F943" s="561"/>
      <c r="G943" s="124"/>
    </row>
    <row r="944" ht="14.25" customHeight="1">
      <c r="A944" s="1515" t="s">
        <v>2121</v>
      </c>
      <c r="B944" s="1210"/>
      <c r="C944" s="1296">
        <v>24.3</v>
      </c>
      <c r="D944" s="1307">
        <v>34.87</v>
      </c>
      <c r="E944" s="1307"/>
      <c r="F944" s="854"/>
      <c r="G944" s="855"/>
    </row>
    <row r="945" ht="14.25" customHeight="1">
      <c r="A945" s="1515" t="s">
        <v>2123</v>
      </c>
      <c r="B945" s="1210"/>
      <c r="C945" s="1296">
        <v>35.7</v>
      </c>
      <c r="D945" s="1307">
        <v>72.37</v>
      </c>
      <c r="E945" s="1258"/>
      <c r="G945" s="571"/>
    </row>
    <row r="946" ht="14.25" customHeight="1">
      <c r="A946" s="1515" t="s">
        <v>2124</v>
      </c>
      <c r="B946" s="1210"/>
      <c r="C946" s="1296">
        <v>13.0</v>
      </c>
      <c r="D946" s="1307">
        <v>10.55</v>
      </c>
      <c r="E946" s="1258"/>
      <c r="G946" s="571"/>
    </row>
    <row r="947" ht="14.25" customHeight="1">
      <c r="A947" s="1515" t="s">
        <v>2125</v>
      </c>
      <c r="B947" s="1210"/>
      <c r="C947" s="1296">
        <v>16.0</v>
      </c>
      <c r="D947" s="1307">
        <v>16.0</v>
      </c>
      <c r="E947" s="1258"/>
      <c r="G947" s="571"/>
    </row>
    <row r="948" ht="14.25" customHeight="1">
      <c r="A948" s="1515" t="s">
        <v>2126</v>
      </c>
      <c r="B948" s="1210"/>
      <c r="C948" s="1296">
        <v>20.0</v>
      </c>
      <c r="D948" s="1307">
        <v>19.64</v>
      </c>
      <c r="E948" s="1258"/>
      <c r="G948" s="571"/>
    </row>
    <row r="949" ht="14.25" customHeight="1">
      <c r="A949" s="1515" t="s">
        <v>2127</v>
      </c>
      <c r="B949" s="1210"/>
      <c r="C949" s="1296">
        <v>18.0</v>
      </c>
      <c r="D949" s="1307">
        <v>20.0</v>
      </c>
      <c r="E949" s="1258"/>
      <c r="G949" s="571"/>
    </row>
    <row r="950" ht="14.25" customHeight="1">
      <c r="A950" s="1515" t="s">
        <v>2128</v>
      </c>
      <c r="B950" s="1210"/>
      <c r="C950" s="1296">
        <v>11.7</v>
      </c>
      <c r="D950" s="1307">
        <v>7.7</v>
      </c>
      <c r="E950" s="1258"/>
      <c r="G950" s="571"/>
    </row>
    <row r="951" ht="14.25" customHeight="1">
      <c r="A951" s="1515" t="s">
        <v>2129</v>
      </c>
      <c r="B951" s="1210"/>
      <c r="C951" s="1296">
        <v>7.4</v>
      </c>
      <c r="D951" s="1307">
        <v>3.18</v>
      </c>
      <c r="E951" s="1258"/>
      <c r="G951" s="571"/>
    </row>
    <row r="952" ht="14.25" customHeight="1">
      <c r="A952" s="1515" t="s">
        <v>2130</v>
      </c>
      <c r="B952" s="1210"/>
      <c r="C952" s="1296">
        <v>13.39</v>
      </c>
      <c r="D952" s="1307">
        <v>7.68</v>
      </c>
      <c r="E952" s="1258"/>
      <c r="G952" s="571"/>
    </row>
    <row r="953" ht="14.25" customHeight="1">
      <c r="A953" s="1515" t="s">
        <v>2131</v>
      </c>
      <c r="B953" s="1210"/>
      <c r="C953" s="1296">
        <v>3.05</v>
      </c>
      <c r="D953" s="1307">
        <v>2.78</v>
      </c>
      <c r="E953" s="1258"/>
      <c r="G953" s="571"/>
    </row>
    <row r="954" ht="14.25" customHeight="1">
      <c r="A954" s="1515" t="s">
        <v>2132</v>
      </c>
      <c r="B954" s="1210"/>
      <c r="C954" s="1296">
        <v>3.05</v>
      </c>
      <c r="D954" s="1307">
        <v>7.68</v>
      </c>
      <c r="E954" s="1258"/>
      <c r="G954" s="571"/>
    </row>
    <row r="955" ht="14.25" customHeight="1">
      <c r="A955" s="1515" t="s">
        <v>2133</v>
      </c>
      <c r="B955" s="1210"/>
      <c r="C955" s="1296">
        <v>13.39</v>
      </c>
      <c r="D955" s="1307">
        <v>2.78</v>
      </c>
      <c r="E955" s="1258"/>
      <c r="G955" s="571"/>
    </row>
    <row r="956" ht="14.25" customHeight="1">
      <c r="A956" s="1294" t="s">
        <v>2212</v>
      </c>
      <c r="B956" s="41"/>
      <c r="C956" s="1296">
        <v>13.3</v>
      </c>
      <c r="D956" s="1307">
        <v>10.61</v>
      </c>
      <c r="E956" s="1258"/>
      <c r="G956" s="571"/>
    </row>
    <row r="957" ht="14.25" customHeight="1">
      <c r="A957" s="1516"/>
      <c r="B957" s="1517"/>
      <c r="C957" s="1518" t="s">
        <v>1467</v>
      </c>
      <c r="D957" s="1519" t="str">
        <f>SUM(D944:D956)</f>
        <v>215.84</v>
      </c>
      <c r="E957" s="1520"/>
      <c r="F957" s="21"/>
      <c r="G957" s="1521"/>
    </row>
    <row r="958" ht="14.25" customHeight="1">
      <c r="A958" s="1276"/>
      <c r="B958" s="1277"/>
      <c r="C958" s="1277"/>
      <c r="D958" s="1277"/>
      <c r="E958" s="1277"/>
      <c r="F958" s="1277"/>
      <c r="G958" s="1278"/>
    </row>
    <row r="959" ht="14.25" customHeight="1">
      <c r="A959" s="1199" t="s">
        <v>583</v>
      </c>
      <c r="B959" s="1200" t="s">
        <v>2215</v>
      </c>
      <c r="C959" s="28"/>
      <c r="D959" s="28"/>
      <c r="E959" s="28"/>
      <c r="F959" s="28"/>
      <c r="G959" s="29"/>
    </row>
    <row r="960" ht="14.25" customHeight="1">
      <c r="A960" s="1207" t="s">
        <v>2119</v>
      </c>
      <c r="B960" s="107"/>
      <c r="C960" s="107"/>
      <c r="D960" s="107"/>
      <c r="E960" s="107"/>
      <c r="F960" s="107"/>
      <c r="G960" s="781"/>
    </row>
    <row r="961" ht="14.25" customHeight="1">
      <c r="A961" s="1208" t="s">
        <v>2120</v>
      </c>
      <c r="B961" s="561"/>
      <c r="C961" s="561"/>
      <c r="D961" s="561"/>
      <c r="E961" s="561"/>
      <c r="F961" s="561"/>
      <c r="G961" s="124"/>
    </row>
    <row r="962" ht="14.25" customHeight="1">
      <c r="A962" s="1470" t="s">
        <v>1967</v>
      </c>
      <c r="B962" s="41"/>
      <c r="C962" s="1427" t="s">
        <v>1585</v>
      </c>
      <c r="D962" s="1427" t="s">
        <v>1579</v>
      </c>
      <c r="E962" s="1429" t="s">
        <v>1580</v>
      </c>
      <c r="F962" s="561"/>
      <c r="G962" s="124"/>
    </row>
    <row r="963" ht="14.25" customHeight="1">
      <c r="A963" s="1515" t="s">
        <v>2121</v>
      </c>
      <c r="B963" s="1210"/>
      <c r="C963" s="1296">
        <v>24.3</v>
      </c>
      <c r="D963" s="1307">
        <v>34.87</v>
      </c>
      <c r="E963" s="1307"/>
      <c r="F963" s="854"/>
      <c r="G963" s="855"/>
    </row>
    <row r="964" ht="14.25" customHeight="1">
      <c r="A964" s="1515" t="s">
        <v>2123</v>
      </c>
      <c r="B964" s="1210"/>
      <c r="C964" s="1296">
        <v>35.7</v>
      </c>
      <c r="D964" s="1307">
        <v>72.37</v>
      </c>
      <c r="E964" s="1258"/>
      <c r="G964" s="571"/>
    </row>
    <row r="965" ht="14.25" customHeight="1">
      <c r="A965" s="1515" t="s">
        <v>2124</v>
      </c>
      <c r="B965" s="1210"/>
      <c r="C965" s="1296">
        <v>13.0</v>
      </c>
      <c r="D965" s="1307">
        <v>10.55</v>
      </c>
      <c r="E965" s="1258"/>
      <c r="G965" s="571"/>
    </row>
    <row r="966" ht="14.25" customHeight="1">
      <c r="A966" s="1515" t="s">
        <v>2125</v>
      </c>
      <c r="B966" s="1210"/>
      <c r="C966" s="1296">
        <v>16.0</v>
      </c>
      <c r="D966" s="1307">
        <v>16.0</v>
      </c>
      <c r="E966" s="1258"/>
      <c r="G966" s="571"/>
    </row>
    <row r="967" ht="14.25" customHeight="1">
      <c r="A967" s="1515" t="s">
        <v>2126</v>
      </c>
      <c r="B967" s="1210"/>
      <c r="C967" s="1296">
        <v>20.0</v>
      </c>
      <c r="D967" s="1307">
        <v>19.64</v>
      </c>
      <c r="E967" s="1258"/>
      <c r="G967" s="571"/>
    </row>
    <row r="968" ht="14.25" customHeight="1">
      <c r="A968" s="1515" t="s">
        <v>2127</v>
      </c>
      <c r="B968" s="1210"/>
      <c r="C968" s="1296">
        <v>18.0</v>
      </c>
      <c r="D968" s="1307">
        <v>20.0</v>
      </c>
      <c r="E968" s="1258"/>
      <c r="G968" s="571"/>
    </row>
    <row r="969" ht="14.25" customHeight="1">
      <c r="A969" s="1515" t="s">
        <v>2128</v>
      </c>
      <c r="B969" s="1210"/>
      <c r="C969" s="1296">
        <v>11.7</v>
      </c>
      <c r="D969" s="1307">
        <v>7.7</v>
      </c>
      <c r="E969" s="1258"/>
      <c r="G969" s="571"/>
    </row>
    <row r="970" ht="14.25" customHeight="1">
      <c r="A970" s="1515" t="s">
        <v>2129</v>
      </c>
      <c r="B970" s="1210"/>
      <c r="C970" s="1296">
        <v>7.4</v>
      </c>
      <c r="D970" s="1307">
        <v>3.18</v>
      </c>
      <c r="E970" s="1258"/>
      <c r="G970" s="571"/>
    </row>
    <row r="971" ht="14.25" customHeight="1">
      <c r="A971" s="1515" t="s">
        <v>2130</v>
      </c>
      <c r="B971" s="1210"/>
      <c r="C971" s="1296">
        <v>13.39</v>
      </c>
      <c r="D971" s="1307">
        <v>7.68</v>
      </c>
      <c r="E971" s="1258"/>
      <c r="G971" s="571"/>
    </row>
    <row r="972" ht="14.25" customHeight="1">
      <c r="A972" s="1515" t="s">
        <v>2131</v>
      </c>
      <c r="B972" s="1210"/>
      <c r="C972" s="1296">
        <v>3.05</v>
      </c>
      <c r="D972" s="1307">
        <v>2.78</v>
      </c>
      <c r="E972" s="1258"/>
      <c r="G972" s="571"/>
    </row>
    <row r="973" ht="14.25" customHeight="1">
      <c r="A973" s="1515" t="s">
        <v>2132</v>
      </c>
      <c r="B973" s="1210"/>
      <c r="C973" s="1296">
        <v>3.05</v>
      </c>
      <c r="D973" s="1307">
        <v>7.68</v>
      </c>
      <c r="E973" s="1258"/>
      <c r="G973" s="571"/>
    </row>
    <row r="974" ht="14.25" customHeight="1">
      <c r="A974" s="1515" t="s">
        <v>2133</v>
      </c>
      <c r="B974" s="1210"/>
      <c r="C974" s="1296">
        <v>13.39</v>
      </c>
      <c r="D974" s="1307">
        <v>2.78</v>
      </c>
      <c r="E974" s="1258"/>
      <c r="G974" s="571"/>
    </row>
    <row r="975" ht="14.25" customHeight="1">
      <c r="A975" s="1294" t="s">
        <v>2212</v>
      </c>
      <c r="B975" s="41"/>
      <c r="C975" s="1296">
        <v>13.3</v>
      </c>
      <c r="D975" s="1307">
        <v>10.61</v>
      </c>
      <c r="E975" s="1258"/>
      <c r="G975" s="571"/>
    </row>
    <row r="976" ht="14.25" customHeight="1">
      <c r="A976" s="1516"/>
      <c r="B976" s="1517"/>
      <c r="C976" s="1518" t="s">
        <v>1467</v>
      </c>
      <c r="D976" s="1519" t="str">
        <f>SUM(D963:D975)</f>
        <v>215.84</v>
      </c>
      <c r="E976" s="1520"/>
      <c r="F976" s="21"/>
      <c r="G976" s="1521"/>
    </row>
    <row r="977" ht="14.25" customHeight="1">
      <c r="A977" s="1276"/>
      <c r="B977" s="1277"/>
      <c r="C977" s="1277"/>
      <c r="D977" s="1277"/>
      <c r="E977" s="1277"/>
      <c r="F977" s="1277"/>
      <c r="G977" s="1278"/>
    </row>
    <row r="978" ht="14.25" customHeight="1">
      <c r="A978" s="1199" t="s">
        <v>585</v>
      </c>
      <c r="B978" s="1200" t="s">
        <v>2216</v>
      </c>
      <c r="C978" s="28"/>
      <c r="D978" s="28"/>
      <c r="E978" s="28"/>
      <c r="F978" s="28"/>
      <c r="G978" s="29"/>
    </row>
    <row r="979" ht="14.25" customHeight="1">
      <c r="A979" s="1207" t="s">
        <v>1577</v>
      </c>
      <c r="B979" s="107"/>
      <c r="C979" s="107"/>
      <c r="D979" s="107"/>
      <c r="E979" s="107"/>
      <c r="F979" s="107"/>
      <c r="G979" s="781"/>
    </row>
    <row r="980" ht="14.25" customHeight="1">
      <c r="A980" s="1208" t="s">
        <v>2017</v>
      </c>
      <c r="B980" s="561"/>
      <c r="C980" s="561"/>
      <c r="D980" s="561"/>
      <c r="E980" s="561"/>
      <c r="F980" s="561"/>
      <c r="G980" s="124"/>
    </row>
    <row r="981" ht="14.25" customHeight="1">
      <c r="A981" s="1426" t="s">
        <v>1585</v>
      </c>
      <c r="B981" s="1427" t="s">
        <v>1585</v>
      </c>
      <c r="C981" s="1427" t="s">
        <v>1899</v>
      </c>
      <c r="D981" s="1427" t="s">
        <v>1620</v>
      </c>
      <c r="E981" s="1427" t="s">
        <v>1900</v>
      </c>
      <c r="F981" s="1427" t="s">
        <v>1901</v>
      </c>
      <c r="G981" s="1463" t="s">
        <v>1902</v>
      </c>
    </row>
    <row r="982" ht="14.25" customHeight="1">
      <c r="A982" s="1464" t="s">
        <v>2018</v>
      </c>
      <c r="B982" s="561"/>
      <c r="C982" s="561"/>
      <c r="D982" s="561"/>
      <c r="E982" s="561"/>
      <c r="F982" s="561"/>
      <c r="G982" s="124"/>
    </row>
    <row r="983" ht="14.25" customHeight="1">
      <c r="A983" s="1251" t="s">
        <v>2089</v>
      </c>
      <c r="B983" s="1214" t="str">
        <f>4.75+9.5+4.75</f>
        <v>19.00</v>
      </c>
      <c r="C983" s="1214">
        <v>0.15</v>
      </c>
      <c r="D983" s="1214" t="str">
        <f t="shared" ref="D983:D988" si="105">C983*B983</f>
        <v>2.85</v>
      </c>
      <c r="E983" s="1214"/>
      <c r="F983" s="1214"/>
      <c r="G983" s="1467" t="str">
        <f t="shared" ref="G983:G988" si="106">D983-F983</f>
        <v>2.85</v>
      </c>
    </row>
    <row r="984" ht="14.25" customHeight="1">
      <c r="A984" s="1251" t="s">
        <v>2090</v>
      </c>
      <c r="B984" s="1214" t="str">
        <f>4.15+4+1.6+3.08+4.5+1.65+5.15+4</f>
        <v>28.13</v>
      </c>
      <c r="C984" s="1214">
        <v>0.15</v>
      </c>
      <c r="D984" s="1214" t="str">
        <f t="shared" si="105"/>
        <v>4.22</v>
      </c>
      <c r="E984" s="1214"/>
      <c r="F984" s="1214"/>
      <c r="G984" s="1467" t="str">
        <f t="shared" si="106"/>
        <v>4.22</v>
      </c>
    </row>
    <row r="985" ht="14.25" customHeight="1">
      <c r="A985" s="1251" t="s">
        <v>2091</v>
      </c>
      <c r="B985" s="1214" t="str">
        <f>3.85+3.85+9.8+9.8</f>
        <v>27.30</v>
      </c>
      <c r="C985" s="1214">
        <v>0.15</v>
      </c>
      <c r="D985" s="1214" t="str">
        <f t="shared" si="105"/>
        <v>4.10</v>
      </c>
      <c r="E985" s="1214"/>
      <c r="F985" s="1214"/>
      <c r="G985" s="1467" t="str">
        <f t="shared" si="106"/>
        <v>4.10</v>
      </c>
    </row>
    <row r="986" ht="14.25" customHeight="1">
      <c r="A986" s="1251" t="s">
        <v>2092</v>
      </c>
      <c r="B986" s="1214" t="str">
        <f>7.8+7.5+17.1+3.35</f>
        <v>35.75</v>
      </c>
      <c r="C986" s="1214">
        <v>0.15</v>
      </c>
      <c r="D986" s="1214" t="str">
        <f t="shared" si="105"/>
        <v>5.36</v>
      </c>
      <c r="E986" s="1214"/>
      <c r="F986" s="1214"/>
      <c r="G986" s="1467" t="str">
        <f t="shared" si="106"/>
        <v>5.36</v>
      </c>
    </row>
    <row r="987" ht="14.25" customHeight="1">
      <c r="A987" s="1251" t="s">
        <v>2093</v>
      </c>
      <c r="B987" s="1214" t="str">
        <f>3.35+1.8</f>
        <v>5.15</v>
      </c>
      <c r="C987" s="1214">
        <v>1.28</v>
      </c>
      <c r="D987" s="1214" t="str">
        <f t="shared" si="105"/>
        <v>6.59</v>
      </c>
      <c r="E987" s="1214"/>
      <c r="F987" s="1214"/>
      <c r="G987" s="1467" t="str">
        <f t="shared" si="106"/>
        <v>6.59</v>
      </c>
    </row>
    <row r="988" ht="14.25" customHeight="1">
      <c r="A988" s="1251" t="s">
        <v>2094</v>
      </c>
      <c r="B988" s="1214" t="str">
        <f>7.8+7.5</f>
        <v>15.30</v>
      </c>
      <c r="C988" s="1214">
        <v>1.28</v>
      </c>
      <c r="D988" s="1214" t="str">
        <f t="shared" si="105"/>
        <v>19.58</v>
      </c>
      <c r="E988" s="1214"/>
      <c r="F988" s="1214"/>
      <c r="G988" s="1467" t="str">
        <f t="shared" si="106"/>
        <v>19.58</v>
      </c>
    </row>
    <row r="989" ht="14.25" customHeight="1">
      <c r="A989" s="1536"/>
      <c r="B989" s="561"/>
      <c r="C989" s="561"/>
      <c r="D989" s="561"/>
      <c r="E989" s="561"/>
      <c r="F989" s="561"/>
      <c r="G989" s="124"/>
    </row>
    <row r="990" ht="14.25" customHeight="1">
      <c r="A990" s="1464" t="s">
        <v>2029</v>
      </c>
      <c r="B990" s="561"/>
      <c r="C990" s="561"/>
      <c r="D990" s="561"/>
      <c r="E990" s="561"/>
      <c r="F990" s="561"/>
      <c r="G990" s="124"/>
    </row>
    <row r="991" ht="14.25" customHeight="1">
      <c r="A991" s="1465">
        <v>4.15</v>
      </c>
      <c r="B991" s="1214">
        <v>4.15</v>
      </c>
      <c r="C991" s="1214">
        <v>2.28</v>
      </c>
      <c r="D991" s="1214" t="str">
        <f t="shared" ref="D991:D997" si="107">C991*B991</f>
        <v>9.46</v>
      </c>
      <c r="E991" s="1214"/>
      <c r="F991" s="1214"/>
      <c r="G991" s="1467" t="str">
        <f>D991*C991</f>
        <v>21.57</v>
      </c>
    </row>
    <row r="992" ht="14.25" customHeight="1">
      <c r="A992" s="1465">
        <v>3.35</v>
      </c>
      <c r="B992" s="1214">
        <v>3.35</v>
      </c>
      <c r="C992" s="1214">
        <v>4.32</v>
      </c>
      <c r="D992" s="1214" t="str">
        <f t="shared" si="107"/>
        <v>14.47</v>
      </c>
      <c r="E992" s="1214"/>
      <c r="F992" s="1214"/>
      <c r="G992" s="1467" t="str">
        <f>D992</f>
        <v>14.47</v>
      </c>
    </row>
    <row r="993" ht="14.25" customHeight="1">
      <c r="A993" s="1465">
        <v>2.35</v>
      </c>
      <c r="B993" s="1214">
        <v>2.35</v>
      </c>
      <c r="C993" s="1214">
        <v>4.32</v>
      </c>
      <c r="D993" s="1214" t="str">
        <f t="shared" si="107"/>
        <v>10.15</v>
      </c>
      <c r="E993" s="1466" t="s">
        <v>2037</v>
      </c>
      <c r="F993" s="1214" t="str">
        <f>2.2*1.1</f>
        <v>2.42</v>
      </c>
      <c r="G993" s="1467" t="str">
        <f>D993-F993</f>
        <v>7.73</v>
      </c>
    </row>
    <row r="994" ht="14.25" customHeight="1">
      <c r="A994" s="1465">
        <v>4.15</v>
      </c>
      <c r="B994" s="1214">
        <v>4.15</v>
      </c>
      <c r="C994" s="1214">
        <v>1.27</v>
      </c>
      <c r="D994" s="1214" t="str">
        <f t="shared" si="107"/>
        <v>5.27</v>
      </c>
      <c r="E994" s="1214"/>
      <c r="F994" s="1214"/>
      <c r="G994" s="1467" t="str">
        <f t="shared" ref="G994:G997" si="108">D994</f>
        <v>5.27</v>
      </c>
    </row>
    <row r="995" ht="14.25" customHeight="1">
      <c r="A995" s="1251" t="s">
        <v>2095</v>
      </c>
      <c r="B995" s="1214">
        <v>4.15</v>
      </c>
      <c r="C995" s="1214">
        <v>1.27</v>
      </c>
      <c r="D995" s="1214" t="str">
        <f t="shared" si="107"/>
        <v>5.27</v>
      </c>
      <c r="E995" s="1214"/>
      <c r="F995" s="1214"/>
      <c r="G995" s="1467" t="str">
        <f t="shared" si="108"/>
        <v>5.27</v>
      </c>
    </row>
    <row r="996" ht="14.25" customHeight="1">
      <c r="A996" s="1251" t="s">
        <v>2096</v>
      </c>
      <c r="B996" s="1214" t="str">
        <f>4.45+4.6+4.6</f>
        <v>13.65</v>
      </c>
      <c r="C996" s="1214">
        <v>1.78</v>
      </c>
      <c r="D996" s="1214" t="str">
        <f t="shared" si="107"/>
        <v>24.30</v>
      </c>
      <c r="E996" s="1214"/>
      <c r="F996" s="1214"/>
      <c r="G996" s="1467" t="str">
        <f t="shared" si="108"/>
        <v>24.30</v>
      </c>
    </row>
    <row r="997" ht="14.25" customHeight="1">
      <c r="A997" s="1251" t="s">
        <v>2098</v>
      </c>
      <c r="B997" s="1214" t="str">
        <f>3.85+3.85</f>
        <v>7.70</v>
      </c>
      <c r="C997" s="1214">
        <v>2.28</v>
      </c>
      <c r="D997" s="1214" t="str">
        <f t="shared" si="107"/>
        <v>17.56</v>
      </c>
      <c r="E997" s="1214"/>
      <c r="F997" s="1214"/>
      <c r="G997" s="1467" t="str">
        <f t="shared" si="108"/>
        <v>17.56</v>
      </c>
    </row>
    <row r="998" ht="14.25" customHeight="1">
      <c r="A998" s="1537" t="s">
        <v>2099</v>
      </c>
      <c r="B998" s="1538">
        <v>4.6</v>
      </c>
      <c r="C998" s="1296">
        <v>1.93</v>
      </c>
      <c r="D998" s="1296" t="str">
        <f>B998*C998</f>
        <v>8.88</v>
      </c>
      <c r="E998" s="1296"/>
      <c r="F998" s="1296"/>
      <c r="G998" s="1539" t="str">
        <f>D998-F998</f>
        <v>8.88</v>
      </c>
    </row>
    <row r="999" ht="14.25" customHeight="1">
      <c r="A999" s="1536"/>
      <c r="B999" s="561"/>
      <c r="C999" s="561"/>
      <c r="D999" s="561"/>
      <c r="E999" s="561"/>
      <c r="F999" s="561"/>
      <c r="G999" s="124"/>
    </row>
    <row r="1000" ht="14.25" customHeight="1">
      <c r="A1000" s="1464" t="s">
        <v>2047</v>
      </c>
      <c r="B1000" s="561"/>
      <c r="C1000" s="561"/>
      <c r="D1000" s="561"/>
      <c r="E1000" s="561"/>
      <c r="F1000" s="561"/>
      <c r="G1000" s="124"/>
    </row>
    <row r="1001" ht="14.25" customHeight="1">
      <c r="A1001" s="1251" t="s">
        <v>2100</v>
      </c>
      <c r="B1001" s="1214" t="str">
        <f>3.65+4.8</f>
        <v>8.45</v>
      </c>
      <c r="C1001" s="1214">
        <v>4.32</v>
      </c>
      <c r="D1001" s="1214" t="str">
        <f t="shared" ref="D1001:D1004" si="109">B1001*C1001</f>
        <v>36.50</v>
      </c>
      <c r="E1001" s="1466" t="s">
        <v>2101</v>
      </c>
      <c r="F1001" s="1214" t="str">
        <f>(2.2*1.1)+(2.3+1.1)</f>
        <v>5.82</v>
      </c>
      <c r="G1001" s="1467" t="str">
        <f t="shared" ref="G1001:G1002" si="110">D1001-F1001</f>
        <v>30.68</v>
      </c>
    </row>
    <row r="1002" ht="14.25" customHeight="1">
      <c r="A1002" s="1251" t="s">
        <v>2104</v>
      </c>
      <c r="B1002" s="1535" t="str">
        <f>7.8+7.8+17.25</f>
        <v>32.85</v>
      </c>
      <c r="C1002" s="1214">
        <v>4.32</v>
      </c>
      <c r="D1002" s="1214" t="str">
        <f t="shared" si="109"/>
        <v>141.91</v>
      </c>
      <c r="E1002" s="1466" t="s">
        <v>2105</v>
      </c>
      <c r="F1002" s="1214" t="str">
        <f>((2.3*1.1)*3)+((1.1*0.6)*2)+(1.6*2.1)</f>
        <v>12.27</v>
      </c>
      <c r="G1002" s="1467" t="str">
        <f t="shared" si="110"/>
        <v>129.64</v>
      </c>
    </row>
    <row r="1003" ht="14.25" customHeight="1">
      <c r="A1003" s="1465">
        <v>5.15</v>
      </c>
      <c r="B1003" s="1535">
        <v>5.15</v>
      </c>
      <c r="C1003" s="1214">
        <v>4.27</v>
      </c>
      <c r="D1003" s="1214" t="str">
        <f t="shared" si="109"/>
        <v>21.99</v>
      </c>
      <c r="E1003" s="1214"/>
      <c r="F1003" s="1214"/>
      <c r="G1003" s="1467" t="str">
        <f>D1003</f>
        <v>21.99</v>
      </c>
    </row>
    <row r="1004" ht="14.25" customHeight="1">
      <c r="A1004" s="1465">
        <v>4.15</v>
      </c>
      <c r="B1004" s="1535">
        <v>4.15</v>
      </c>
      <c r="C1004" s="1214">
        <v>2.84</v>
      </c>
      <c r="D1004" s="1214" t="str">
        <f t="shared" si="109"/>
        <v>11.79</v>
      </c>
      <c r="E1004" s="1466" t="s">
        <v>2106</v>
      </c>
      <c r="F1004" s="1214" t="str">
        <f>(1.3*2.1)+(2.3*1.1)</f>
        <v>5.26</v>
      </c>
      <c r="G1004" s="1467" t="str">
        <f t="shared" ref="G1004:G1007" si="111">D1004-F1004</f>
        <v>6.53</v>
      </c>
    </row>
    <row r="1005" ht="14.25" customHeight="1">
      <c r="A1005" s="1251" t="s">
        <v>2107</v>
      </c>
      <c r="B1005" s="1214">
        <v>7.5</v>
      </c>
      <c r="C1005" s="1214">
        <v>1.78</v>
      </c>
      <c r="D1005" s="1214" t="str">
        <f t="shared" ref="D1005:D1007" si="112">C1005*B1005</f>
        <v>13.35</v>
      </c>
      <c r="E1005" s="1214"/>
      <c r="F1005" s="1214"/>
      <c r="G1005" s="1467" t="str">
        <f t="shared" si="111"/>
        <v>13.35</v>
      </c>
    </row>
    <row r="1006" ht="14.25" customHeight="1">
      <c r="A1006" s="1251" t="s">
        <v>2108</v>
      </c>
      <c r="B1006" s="1214">
        <v>16.95</v>
      </c>
      <c r="C1006" s="1214">
        <v>1.28</v>
      </c>
      <c r="D1006" s="1214" t="str">
        <f t="shared" si="112"/>
        <v>21.70</v>
      </c>
      <c r="E1006" s="1214"/>
      <c r="F1006" s="1214"/>
      <c r="G1006" s="1467" t="str">
        <f t="shared" si="111"/>
        <v>21.70</v>
      </c>
    </row>
    <row r="1007" ht="14.25" customHeight="1">
      <c r="A1007" s="1251" t="s">
        <v>2109</v>
      </c>
      <c r="B1007" s="1214" t="str">
        <f>9.5+9.5+9.5</f>
        <v>28.50</v>
      </c>
      <c r="C1007" s="1214">
        <v>2.28</v>
      </c>
      <c r="D1007" s="1214" t="str">
        <f t="shared" si="112"/>
        <v>64.98</v>
      </c>
      <c r="E1007" s="1214"/>
      <c r="F1007" s="1214"/>
      <c r="G1007" s="1467" t="str">
        <f t="shared" si="111"/>
        <v>64.98</v>
      </c>
    </row>
    <row r="1008" ht="14.25" customHeight="1">
      <c r="A1008" s="1536"/>
      <c r="B1008" s="561"/>
      <c r="C1008" s="561"/>
      <c r="D1008" s="561"/>
      <c r="E1008" s="561"/>
      <c r="F1008" s="561"/>
      <c r="G1008" s="124"/>
    </row>
    <row r="1009" ht="14.25" customHeight="1">
      <c r="A1009" s="1470" t="s">
        <v>2217</v>
      </c>
      <c r="B1009" s="561"/>
      <c r="C1009" s="561"/>
      <c r="D1009" s="561"/>
      <c r="E1009" s="561"/>
      <c r="F1009" s="561"/>
      <c r="G1009" s="124"/>
    </row>
    <row r="1010" ht="14.25" customHeight="1">
      <c r="A1010" s="1540"/>
      <c r="B1010" s="1210"/>
      <c r="C1010" s="1472" t="s">
        <v>2018</v>
      </c>
      <c r="D1010" s="561"/>
      <c r="E1010" s="561"/>
      <c r="F1010" s="41"/>
      <c r="G1010" s="1467"/>
    </row>
    <row r="1011" ht="14.25" customHeight="1">
      <c r="A1011" s="1421"/>
      <c r="B1011" s="1418"/>
      <c r="C1011" s="1473" t="s">
        <v>1467</v>
      </c>
      <c r="D1011" s="561"/>
      <c r="E1011" s="561"/>
      <c r="F1011" s="41"/>
      <c r="G1011" s="1541" t="str">
        <f>ROUNDUP(G983+G984+G985+G986+G987+G988,2)</f>
        <v>42.71</v>
      </c>
    </row>
    <row r="1012" ht="14.25" customHeight="1">
      <c r="A1012" s="1421"/>
      <c r="B1012" s="1418"/>
      <c r="C1012" s="1472" t="s">
        <v>2029</v>
      </c>
      <c r="D1012" s="561"/>
      <c r="E1012" s="561"/>
      <c r="F1012" s="41"/>
      <c r="G1012" s="1542"/>
    </row>
    <row r="1013" ht="14.25" customHeight="1">
      <c r="A1013" s="1421"/>
      <c r="B1013" s="1418"/>
      <c r="C1013" s="1473" t="s">
        <v>1467</v>
      </c>
      <c r="D1013" s="561"/>
      <c r="E1013" s="561"/>
      <c r="F1013" s="41"/>
      <c r="G1013" s="1541" t="str">
        <f>ROUNDUP(G991+G992+G993+G994+G995+G996+G997+G998,2)</f>
        <v>105.05</v>
      </c>
    </row>
    <row r="1014" ht="14.25" customHeight="1">
      <c r="A1014" s="1421"/>
      <c r="B1014" s="1418"/>
      <c r="C1014" s="1472" t="s">
        <v>2047</v>
      </c>
      <c r="D1014" s="561"/>
      <c r="E1014" s="561"/>
      <c r="F1014" s="41"/>
      <c r="G1014" s="1542"/>
    </row>
    <row r="1015" ht="14.25" customHeight="1">
      <c r="A1015" s="1213"/>
      <c r="B1015" s="39"/>
      <c r="C1015" s="1473" t="s">
        <v>1467</v>
      </c>
      <c r="D1015" s="561"/>
      <c r="E1015" s="561"/>
      <c r="F1015" s="41"/>
      <c r="G1015" s="1541" t="str">
        <f>ROUNDUP(G1001+G1002+G1003+G1004+G1005+G1006+G1007,2)</f>
        <v>288.87</v>
      </c>
    </row>
    <row r="1016" ht="14.25" customHeight="1">
      <c r="A1016" s="1543" t="s">
        <v>1623</v>
      </c>
      <c r="B1016" s="127"/>
      <c r="C1016" s="127"/>
      <c r="D1016" s="127"/>
      <c r="E1016" s="127"/>
      <c r="F1016" s="712"/>
      <c r="G1016" s="1544" t="str">
        <f>ROUNDUP(G1011+G1013+G1015,2)</f>
        <v>436.63</v>
      </c>
    </row>
    <row r="1017" ht="14.25" customHeight="1">
      <c r="A1017" s="1510"/>
      <c r="B1017" s="1584"/>
      <c r="C1017" s="1584"/>
      <c r="D1017" s="1584"/>
      <c r="E1017" s="1584"/>
      <c r="F1017" s="1584"/>
      <c r="G1017" s="1585"/>
    </row>
    <row r="1018" ht="14.25" customHeight="1">
      <c r="A1018" s="1199" t="s">
        <v>587</v>
      </c>
      <c r="B1018" s="1200" t="s">
        <v>2218</v>
      </c>
      <c r="C1018" s="28"/>
      <c r="D1018" s="28"/>
      <c r="E1018" s="28"/>
      <c r="F1018" s="28"/>
      <c r="G1018" s="29"/>
    </row>
    <row r="1019" ht="14.25" customHeight="1">
      <c r="A1019" s="1207" t="s">
        <v>1577</v>
      </c>
      <c r="B1019" s="107"/>
      <c r="C1019" s="107"/>
      <c r="D1019" s="107"/>
      <c r="E1019" s="107"/>
      <c r="F1019" s="107"/>
      <c r="G1019" s="781"/>
    </row>
    <row r="1020" ht="14.25" customHeight="1">
      <c r="A1020" s="1208" t="s">
        <v>2017</v>
      </c>
      <c r="B1020" s="561"/>
      <c r="C1020" s="561"/>
      <c r="D1020" s="561"/>
      <c r="E1020" s="561"/>
      <c r="F1020" s="561"/>
      <c r="G1020" s="124"/>
    </row>
    <row r="1021" ht="14.25" customHeight="1">
      <c r="A1021" s="1426" t="s">
        <v>1585</v>
      </c>
      <c r="B1021" s="1427" t="s">
        <v>1585</v>
      </c>
      <c r="C1021" s="1427" t="s">
        <v>1899</v>
      </c>
      <c r="D1021" s="1427" t="s">
        <v>1620</v>
      </c>
      <c r="E1021" s="1427" t="s">
        <v>1900</v>
      </c>
      <c r="F1021" s="1427" t="s">
        <v>1901</v>
      </c>
      <c r="G1021" s="1463" t="s">
        <v>1902</v>
      </c>
    </row>
    <row r="1022" ht="14.25" customHeight="1">
      <c r="A1022" s="1464" t="s">
        <v>2018</v>
      </c>
      <c r="B1022" s="561"/>
      <c r="C1022" s="561"/>
      <c r="D1022" s="561"/>
      <c r="E1022" s="561"/>
      <c r="F1022" s="561"/>
      <c r="G1022" s="124"/>
    </row>
    <row r="1023" ht="14.25" customHeight="1">
      <c r="A1023" s="1251" t="s">
        <v>2089</v>
      </c>
      <c r="B1023" s="1214" t="str">
        <f>4.75+9.5+4.75</f>
        <v>19.00</v>
      </c>
      <c r="C1023" s="1214">
        <v>0.15</v>
      </c>
      <c r="D1023" s="1214" t="str">
        <f t="shared" ref="D1023:D1028" si="113">C1023*B1023</f>
        <v>2.85</v>
      </c>
      <c r="E1023" s="1214"/>
      <c r="F1023" s="1214"/>
      <c r="G1023" s="1467" t="str">
        <f t="shared" ref="G1023:G1028" si="114">D1023-F1023</f>
        <v>2.85</v>
      </c>
    </row>
    <row r="1024" ht="14.25" customHeight="1">
      <c r="A1024" s="1251" t="s">
        <v>2090</v>
      </c>
      <c r="B1024" s="1214" t="str">
        <f>4.15+4+1.6+3.08+4.5+1.65+5.15+4</f>
        <v>28.13</v>
      </c>
      <c r="C1024" s="1214">
        <v>0.15</v>
      </c>
      <c r="D1024" s="1214" t="str">
        <f t="shared" si="113"/>
        <v>4.22</v>
      </c>
      <c r="E1024" s="1214"/>
      <c r="F1024" s="1214"/>
      <c r="G1024" s="1467" t="str">
        <f t="shared" si="114"/>
        <v>4.22</v>
      </c>
    </row>
    <row r="1025" ht="14.25" customHeight="1">
      <c r="A1025" s="1251" t="s">
        <v>2091</v>
      </c>
      <c r="B1025" s="1214" t="str">
        <f>3.85+3.85+9.8+9.8</f>
        <v>27.30</v>
      </c>
      <c r="C1025" s="1214">
        <v>0.15</v>
      </c>
      <c r="D1025" s="1214" t="str">
        <f t="shared" si="113"/>
        <v>4.10</v>
      </c>
      <c r="E1025" s="1214"/>
      <c r="F1025" s="1214"/>
      <c r="G1025" s="1467" t="str">
        <f t="shared" si="114"/>
        <v>4.10</v>
      </c>
    </row>
    <row r="1026" ht="14.25" customHeight="1">
      <c r="A1026" s="1251" t="s">
        <v>2092</v>
      </c>
      <c r="B1026" s="1214" t="str">
        <f>7.8+7.5+17.1+3.35</f>
        <v>35.75</v>
      </c>
      <c r="C1026" s="1214">
        <v>0.15</v>
      </c>
      <c r="D1026" s="1214" t="str">
        <f t="shared" si="113"/>
        <v>5.36</v>
      </c>
      <c r="E1026" s="1214"/>
      <c r="F1026" s="1214"/>
      <c r="G1026" s="1467" t="str">
        <f t="shared" si="114"/>
        <v>5.36</v>
      </c>
    </row>
    <row r="1027" ht="14.25" customHeight="1">
      <c r="A1027" s="1251" t="s">
        <v>2093</v>
      </c>
      <c r="B1027" s="1214" t="str">
        <f>3.35+1.8</f>
        <v>5.15</v>
      </c>
      <c r="C1027" s="1214">
        <v>1.28</v>
      </c>
      <c r="D1027" s="1214" t="str">
        <f t="shared" si="113"/>
        <v>6.59</v>
      </c>
      <c r="E1027" s="1214"/>
      <c r="F1027" s="1214"/>
      <c r="G1027" s="1467" t="str">
        <f t="shared" si="114"/>
        <v>6.59</v>
      </c>
    </row>
    <row r="1028" ht="14.25" customHeight="1">
      <c r="A1028" s="1251" t="s">
        <v>2094</v>
      </c>
      <c r="B1028" s="1214" t="str">
        <f>7.8+7.5</f>
        <v>15.30</v>
      </c>
      <c r="C1028" s="1214">
        <v>1.28</v>
      </c>
      <c r="D1028" s="1214" t="str">
        <f t="shared" si="113"/>
        <v>19.58</v>
      </c>
      <c r="E1028" s="1214"/>
      <c r="F1028" s="1214"/>
      <c r="G1028" s="1467" t="str">
        <f t="shared" si="114"/>
        <v>19.58</v>
      </c>
    </row>
    <row r="1029" ht="14.25" customHeight="1">
      <c r="A1029" s="1536"/>
      <c r="B1029" s="561"/>
      <c r="C1029" s="561"/>
      <c r="D1029" s="561"/>
      <c r="E1029" s="561"/>
      <c r="F1029" s="561"/>
      <c r="G1029" s="124"/>
    </row>
    <row r="1030" ht="14.25" customHeight="1">
      <c r="A1030" s="1464" t="s">
        <v>2029</v>
      </c>
      <c r="B1030" s="561"/>
      <c r="C1030" s="561"/>
      <c r="D1030" s="561"/>
      <c r="E1030" s="561"/>
      <c r="F1030" s="561"/>
      <c r="G1030" s="124"/>
    </row>
    <row r="1031" ht="14.25" customHeight="1">
      <c r="A1031" s="1465">
        <v>4.15</v>
      </c>
      <c r="B1031" s="1214">
        <v>4.15</v>
      </c>
      <c r="C1031" s="1214">
        <v>2.28</v>
      </c>
      <c r="D1031" s="1214" t="str">
        <f t="shared" ref="D1031:D1037" si="115">C1031*B1031</f>
        <v>9.46</v>
      </c>
      <c r="E1031" s="1214"/>
      <c r="F1031" s="1214"/>
      <c r="G1031" s="1467" t="str">
        <f>D1031*C1031</f>
        <v>21.57</v>
      </c>
    </row>
    <row r="1032" ht="14.25" customHeight="1">
      <c r="A1032" s="1465">
        <v>3.35</v>
      </c>
      <c r="B1032" s="1214">
        <v>3.35</v>
      </c>
      <c r="C1032" s="1214">
        <v>4.32</v>
      </c>
      <c r="D1032" s="1214" t="str">
        <f t="shared" si="115"/>
        <v>14.47</v>
      </c>
      <c r="E1032" s="1214"/>
      <c r="F1032" s="1214"/>
      <c r="G1032" s="1467" t="str">
        <f>D1032</f>
        <v>14.47</v>
      </c>
    </row>
    <row r="1033" ht="14.25" customHeight="1">
      <c r="A1033" s="1465">
        <v>2.35</v>
      </c>
      <c r="B1033" s="1214">
        <v>2.35</v>
      </c>
      <c r="C1033" s="1214">
        <v>4.32</v>
      </c>
      <c r="D1033" s="1214" t="str">
        <f t="shared" si="115"/>
        <v>10.15</v>
      </c>
      <c r="E1033" s="1466" t="s">
        <v>2037</v>
      </c>
      <c r="F1033" s="1214" t="str">
        <f>2.2*1.1</f>
        <v>2.42</v>
      </c>
      <c r="G1033" s="1467" t="str">
        <f>D1033-F1033</f>
        <v>7.73</v>
      </c>
    </row>
    <row r="1034" ht="14.25" customHeight="1">
      <c r="A1034" s="1465">
        <v>4.15</v>
      </c>
      <c r="B1034" s="1214">
        <v>4.15</v>
      </c>
      <c r="C1034" s="1214">
        <v>1.27</v>
      </c>
      <c r="D1034" s="1214" t="str">
        <f t="shared" si="115"/>
        <v>5.27</v>
      </c>
      <c r="E1034" s="1214"/>
      <c r="F1034" s="1214"/>
      <c r="G1034" s="1467" t="str">
        <f t="shared" ref="G1034:G1037" si="116">D1034</f>
        <v>5.27</v>
      </c>
    </row>
    <row r="1035" ht="14.25" customHeight="1">
      <c r="A1035" s="1251" t="s">
        <v>2095</v>
      </c>
      <c r="B1035" s="1214">
        <v>4.15</v>
      </c>
      <c r="C1035" s="1214">
        <v>1.27</v>
      </c>
      <c r="D1035" s="1214" t="str">
        <f t="shared" si="115"/>
        <v>5.27</v>
      </c>
      <c r="E1035" s="1214"/>
      <c r="F1035" s="1214"/>
      <c r="G1035" s="1467" t="str">
        <f t="shared" si="116"/>
        <v>5.27</v>
      </c>
    </row>
    <row r="1036" ht="14.25" customHeight="1">
      <c r="A1036" s="1251" t="s">
        <v>2096</v>
      </c>
      <c r="B1036" s="1214" t="str">
        <f>4.45+4.6+4.6</f>
        <v>13.65</v>
      </c>
      <c r="C1036" s="1214">
        <v>1.78</v>
      </c>
      <c r="D1036" s="1214" t="str">
        <f t="shared" si="115"/>
        <v>24.30</v>
      </c>
      <c r="E1036" s="1214"/>
      <c r="F1036" s="1214"/>
      <c r="G1036" s="1467" t="str">
        <f t="shared" si="116"/>
        <v>24.30</v>
      </c>
    </row>
    <row r="1037" ht="14.25" customHeight="1">
      <c r="A1037" s="1251" t="s">
        <v>2098</v>
      </c>
      <c r="B1037" s="1214" t="str">
        <f>3.85+3.85</f>
        <v>7.70</v>
      </c>
      <c r="C1037" s="1214">
        <v>2.28</v>
      </c>
      <c r="D1037" s="1214" t="str">
        <f t="shared" si="115"/>
        <v>17.56</v>
      </c>
      <c r="E1037" s="1214"/>
      <c r="F1037" s="1214"/>
      <c r="G1037" s="1467" t="str">
        <f t="shared" si="116"/>
        <v>17.56</v>
      </c>
    </row>
    <row r="1038" ht="14.25" customHeight="1">
      <c r="A1038" s="1537" t="s">
        <v>2099</v>
      </c>
      <c r="B1038" s="1538">
        <v>4.6</v>
      </c>
      <c r="C1038" s="1296">
        <v>1.93</v>
      </c>
      <c r="D1038" s="1296" t="str">
        <f>B1038*C1038</f>
        <v>8.88</v>
      </c>
      <c r="E1038" s="1296"/>
      <c r="F1038" s="1296"/>
      <c r="G1038" s="1539" t="str">
        <f>D1038-F1038</f>
        <v>8.88</v>
      </c>
    </row>
    <row r="1039" ht="14.25" customHeight="1">
      <c r="A1039" s="1536"/>
      <c r="B1039" s="561"/>
      <c r="C1039" s="561"/>
      <c r="D1039" s="561"/>
      <c r="E1039" s="561"/>
      <c r="F1039" s="561"/>
      <c r="G1039" s="124"/>
    </row>
    <row r="1040" ht="14.25" customHeight="1">
      <c r="A1040" s="1464" t="s">
        <v>2047</v>
      </c>
      <c r="B1040" s="561"/>
      <c r="C1040" s="561"/>
      <c r="D1040" s="561"/>
      <c r="E1040" s="561"/>
      <c r="F1040" s="561"/>
      <c r="G1040" s="124"/>
    </row>
    <row r="1041" ht="14.25" customHeight="1">
      <c r="A1041" s="1251" t="s">
        <v>2100</v>
      </c>
      <c r="B1041" s="1214" t="str">
        <f>3.65+4.8</f>
        <v>8.45</v>
      </c>
      <c r="C1041" s="1214">
        <v>4.32</v>
      </c>
      <c r="D1041" s="1214" t="str">
        <f t="shared" ref="D1041:D1044" si="117">B1041*C1041</f>
        <v>36.50</v>
      </c>
      <c r="E1041" s="1466" t="s">
        <v>2101</v>
      </c>
      <c r="F1041" s="1214" t="str">
        <f>(2.2*1.1)+(2.3+1.1)</f>
        <v>5.82</v>
      </c>
      <c r="G1041" s="1467" t="str">
        <f t="shared" ref="G1041:G1042" si="118">D1041-F1041</f>
        <v>30.68</v>
      </c>
    </row>
    <row r="1042" ht="14.25" customHeight="1">
      <c r="A1042" s="1251" t="s">
        <v>2104</v>
      </c>
      <c r="B1042" s="1535" t="str">
        <f>7.8+7.8+17.25</f>
        <v>32.85</v>
      </c>
      <c r="C1042" s="1214">
        <v>4.32</v>
      </c>
      <c r="D1042" s="1214" t="str">
        <f t="shared" si="117"/>
        <v>141.91</v>
      </c>
      <c r="E1042" s="1466" t="s">
        <v>2105</v>
      </c>
      <c r="F1042" s="1214" t="str">
        <f>((2.3*1.1)*3)+((1.1*0.6)*2)+(1.6*2.1)</f>
        <v>12.27</v>
      </c>
      <c r="G1042" s="1467" t="str">
        <f t="shared" si="118"/>
        <v>129.64</v>
      </c>
    </row>
    <row r="1043" ht="14.25" customHeight="1">
      <c r="A1043" s="1465">
        <v>5.15</v>
      </c>
      <c r="B1043" s="1535">
        <v>5.15</v>
      </c>
      <c r="C1043" s="1214">
        <v>4.27</v>
      </c>
      <c r="D1043" s="1214" t="str">
        <f t="shared" si="117"/>
        <v>21.99</v>
      </c>
      <c r="E1043" s="1214"/>
      <c r="F1043" s="1214"/>
      <c r="G1043" s="1467" t="str">
        <f>D1043</f>
        <v>21.99</v>
      </c>
    </row>
    <row r="1044" ht="14.25" customHeight="1">
      <c r="A1044" s="1465">
        <v>4.15</v>
      </c>
      <c r="B1044" s="1535">
        <v>4.15</v>
      </c>
      <c r="C1044" s="1214">
        <v>2.84</v>
      </c>
      <c r="D1044" s="1214" t="str">
        <f t="shared" si="117"/>
        <v>11.79</v>
      </c>
      <c r="E1044" s="1466" t="s">
        <v>2106</v>
      </c>
      <c r="F1044" s="1214" t="str">
        <f>(1.3*2.1)+(2.3*1.1)</f>
        <v>5.26</v>
      </c>
      <c r="G1044" s="1467" t="str">
        <f t="shared" ref="G1044:G1047" si="119">D1044-F1044</f>
        <v>6.53</v>
      </c>
    </row>
    <row r="1045" ht="14.25" customHeight="1">
      <c r="A1045" s="1251" t="s">
        <v>2107</v>
      </c>
      <c r="B1045" s="1214">
        <v>7.5</v>
      </c>
      <c r="C1045" s="1214">
        <v>1.78</v>
      </c>
      <c r="D1045" s="1214" t="str">
        <f t="shared" ref="D1045:D1047" si="120">C1045*B1045</f>
        <v>13.35</v>
      </c>
      <c r="E1045" s="1214"/>
      <c r="F1045" s="1214"/>
      <c r="G1045" s="1467" t="str">
        <f t="shared" si="119"/>
        <v>13.35</v>
      </c>
    </row>
    <row r="1046" ht="14.25" customHeight="1">
      <c r="A1046" s="1251" t="s">
        <v>2108</v>
      </c>
      <c r="B1046" s="1214">
        <v>16.95</v>
      </c>
      <c r="C1046" s="1214">
        <v>1.28</v>
      </c>
      <c r="D1046" s="1214" t="str">
        <f t="shared" si="120"/>
        <v>21.70</v>
      </c>
      <c r="E1046" s="1214"/>
      <c r="F1046" s="1214"/>
      <c r="G1046" s="1467" t="str">
        <f t="shared" si="119"/>
        <v>21.70</v>
      </c>
    </row>
    <row r="1047" ht="14.25" customHeight="1">
      <c r="A1047" s="1251" t="s">
        <v>2109</v>
      </c>
      <c r="B1047" s="1214" t="str">
        <f>9.5+9.5+9.5</f>
        <v>28.50</v>
      </c>
      <c r="C1047" s="1214">
        <v>2.28</v>
      </c>
      <c r="D1047" s="1214" t="str">
        <f t="shared" si="120"/>
        <v>64.98</v>
      </c>
      <c r="E1047" s="1214"/>
      <c r="F1047" s="1214"/>
      <c r="G1047" s="1467" t="str">
        <f t="shared" si="119"/>
        <v>64.98</v>
      </c>
    </row>
    <row r="1048" ht="14.25" customHeight="1">
      <c r="A1048" s="1536"/>
      <c r="B1048" s="561"/>
      <c r="C1048" s="561"/>
      <c r="D1048" s="561"/>
      <c r="E1048" s="561"/>
      <c r="F1048" s="561"/>
      <c r="G1048" s="124"/>
    </row>
    <row r="1049" ht="14.25" customHeight="1">
      <c r="A1049" s="1586" t="s">
        <v>2219</v>
      </c>
      <c r="B1049" s="561"/>
      <c r="C1049" s="561"/>
      <c r="D1049" s="561"/>
      <c r="E1049" s="561"/>
      <c r="F1049" s="561"/>
      <c r="G1049" s="124"/>
    </row>
    <row r="1050" ht="14.25" customHeight="1">
      <c r="A1050" s="1540"/>
      <c r="B1050" s="1210"/>
      <c r="C1050" s="1472" t="s">
        <v>2018</v>
      </c>
      <c r="D1050" s="561"/>
      <c r="E1050" s="561"/>
      <c r="F1050" s="41"/>
      <c r="G1050" s="1467"/>
    </row>
    <row r="1051" ht="14.25" customHeight="1">
      <c r="A1051" s="1421"/>
      <c r="B1051" s="1418"/>
      <c r="C1051" s="1473" t="s">
        <v>1467</v>
      </c>
      <c r="D1051" s="561"/>
      <c r="E1051" s="561"/>
      <c r="F1051" s="41"/>
      <c r="G1051" s="1541" t="str">
        <f>ROUNDUP(G1023+G1024+G1025+G1026+G1027+G1028,2)</f>
        <v>42.71</v>
      </c>
    </row>
    <row r="1052" ht="14.25" customHeight="1">
      <c r="A1052" s="1421"/>
      <c r="B1052" s="1418"/>
      <c r="C1052" s="1472" t="s">
        <v>2029</v>
      </c>
      <c r="D1052" s="561"/>
      <c r="E1052" s="561"/>
      <c r="F1052" s="41"/>
      <c r="G1052" s="1542"/>
    </row>
    <row r="1053" ht="14.25" customHeight="1">
      <c r="A1053" s="1421"/>
      <c r="B1053" s="1418"/>
      <c r="C1053" s="1473" t="s">
        <v>1467</v>
      </c>
      <c r="D1053" s="561"/>
      <c r="E1053" s="561"/>
      <c r="F1053" s="41"/>
      <c r="G1053" s="1541" t="str">
        <f>ROUNDUP(G1031+G1032+G1033+G1034+G1035+G1036+G1037+G1038,2)</f>
        <v>105.05</v>
      </c>
    </row>
    <row r="1054" ht="14.25" customHeight="1">
      <c r="A1054" s="1421"/>
      <c r="B1054" s="1418"/>
      <c r="C1054" s="1472" t="s">
        <v>2047</v>
      </c>
      <c r="D1054" s="561"/>
      <c r="E1054" s="561"/>
      <c r="F1054" s="41"/>
      <c r="G1054" s="1542"/>
    </row>
    <row r="1055" ht="14.25" customHeight="1">
      <c r="A1055" s="1213"/>
      <c r="B1055" s="39"/>
      <c r="C1055" s="1473" t="s">
        <v>1467</v>
      </c>
      <c r="D1055" s="561"/>
      <c r="E1055" s="561"/>
      <c r="F1055" s="41"/>
      <c r="G1055" s="1541" t="str">
        <f>ROUNDUP(G1041+G1042+G1043+G1044+G1045+G1046+G1047,2)</f>
        <v>288.87</v>
      </c>
    </row>
    <row r="1056" ht="14.25" customHeight="1">
      <c r="A1056" s="1543" t="s">
        <v>1623</v>
      </c>
      <c r="B1056" s="127"/>
      <c r="C1056" s="127"/>
      <c r="D1056" s="127"/>
      <c r="E1056" s="127"/>
      <c r="F1056" s="712"/>
      <c r="G1056" s="1544" t="str">
        <f>ROUNDUP(G1051+G1053+G1055,2)</f>
        <v>436.63</v>
      </c>
    </row>
    <row r="1057" ht="14.25" customHeight="1">
      <c r="A1057" s="1522"/>
      <c r="B1057" s="1587"/>
      <c r="C1057" s="1587"/>
      <c r="D1057" s="1587"/>
      <c r="E1057" s="1587"/>
      <c r="F1057" s="1587"/>
      <c r="G1057" s="1588"/>
    </row>
    <row r="1058" ht="14.25" customHeight="1">
      <c r="A1058" s="1199" t="s">
        <v>589</v>
      </c>
      <c r="B1058" s="1200" t="s">
        <v>2220</v>
      </c>
      <c r="C1058" s="28"/>
      <c r="D1058" s="28"/>
      <c r="E1058" s="28"/>
      <c r="F1058" s="28"/>
      <c r="G1058" s="29"/>
    </row>
    <row r="1059" ht="14.25" customHeight="1">
      <c r="A1059" s="1207" t="s">
        <v>2119</v>
      </c>
      <c r="B1059" s="107"/>
      <c r="C1059" s="107"/>
      <c r="D1059" s="107"/>
      <c r="E1059" s="107"/>
      <c r="F1059" s="107"/>
      <c r="G1059" s="781"/>
    </row>
    <row r="1060" ht="14.25" customHeight="1">
      <c r="A1060" s="1208" t="s">
        <v>2120</v>
      </c>
      <c r="B1060" s="561"/>
      <c r="C1060" s="561"/>
      <c r="D1060" s="561"/>
      <c r="E1060" s="561"/>
      <c r="F1060" s="561"/>
      <c r="G1060" s="124"/>
    </row>
    <row r="1061" ht="14.25" customHeight="1">
      <c r="A1061" s="1470" t="s">
        <v>1967</v>
      </c>
      <c r="B1061" s="41"/>
      <c r="C1061" s="1427" t="s">
        <v>1585</v>
      </c>
      <c r="D1061" s="1427" t="s">
        <v>1579</v>
      </c>
      <c r="E1061" s="1429" t="s">
        <v>1580</v>
      </c>
      <c r="F1061" s="561"/>
      <c r="G1061" s="124"/>
    </row>
    <row r="1062" ht="14.25" customHeight="1">
      <c r="A1062" s="1515" t="s">
        <v>1968</v>
      </c>
      <c r="B1062" s="1210"/>
      <c r="C1062" s="1296">
        <v>36.45</v>
      </c>
      <c r="D1062" s="1307">
        <v>33.98</v>
      </c>
      <c r="E1062" s="1307"/>
      <c r="F1062" s="854"/>
      <c r="G1062" s="855"/>
    </row>
    <row r="1063" ht="14.25" customHeight="1">
      <c r="A1063" s="1515" t="s">
        <v>2213</v>
      </c>
      <c r="B1063" s="1210"/>
      <c r="C1063" s="1296" t="str">
        <f>36.45+0.8+0.8</f>
        <v>38.05</v>
      </c>
      <c r="D1063" s="1307" t="str">
        <f>38.05*0.2</f>
        <v>7.61</v>
      </c>
      <c r="E1063" s="1258"/>
      <c r="G1063" s="571"/>
    </row>
    <row r="1064" ht="14.25" customHeight="1">
      <c r="A1064" s="1516"/>
      <c r="B1064" s="1517"/>
      <c r="C1064" s="1518" t="s">
        <v>1467</v>
      </c>
      <c r="D1064" s="1519" t="str">
        <f>SUM(D1062:D1063)</f>
        <v>41.59</v>
      </c>
      <c r="E1064" s="1520"/>
      <c r="F1064" s="21"/>
      <c r="G1064" s="1521"/>
    </row>
    <row r="1065" ht="14.25" customHeight="1">
      <c r="A1065" s="1589"/>
      <c r="B1065" s="1457"/>
      <c r="C1065" s="1270"/>
      <c r="D1065" s="1270"/>
      <c r="E1065" s="1457"/>
      <c r="F1065" s="1457"/>
      <c r="G1065" s="1458"/>
    </row>
    <row r="1066" ht="14.25" customHeight="1">
      <c r="A1066" s="1199" t="s">
        <v>592</v>
      </c>
      <c r="B1066" s="1200" t="s">
        <v>2221</v>
      </c>
      <c r="C1066" s="28"/>
      <c r="D1066" s="28"/>
      <c r="E1066" s="28"/>
      <c r="F1066" s="28"/>
      <c r="G1066" s="29"/>
    </row>
    <row r="1067" ht="14.25" customHeight="1">
      <c r="A1067" s="1207" t="s">
        <v>2119</v>
      </c>
      <c r="B1067" s="107"/>
      <c r="C1067" s="107"/>
      <c r="D1067" s="107"/>
      <c r="E1067" s="107"/>
      <c r="F1067" s="107"/>
      <c r="G1067" s="781"/>
    </row>
    <row r="1068" ht="14.25" customHeight="1">
      <c r="A1068" s="1208" t="s">
        <v>2120</v>
      </c>
      <c r="B1068" s="561"/>
      <c r="C1068" s="561"/>
      <c r="D1068" s="561"/>
      <c r="E1068" s="561"/>
      <c r="F1068" s="561"/>
      <c r="G1068" s="124"/>
    </row>
    <row r="1069" ht="14.25" customHeight="1">
      <c r="A1069" s="1470" t="s">
        <v>1967</v>
      </c>
      <c r="B1069" s="41"/>
      <c r="C1069" s="1427" t="s">
        <v>2222</v>
      </c>
      <c r="D1069" s="1427" t="s">
        <v>1579</v>
      </c>
      <c r="E1069" s="1429" t="s">
        <v>1580</v>
      </c>
      <c r="F1069" s="561"/>
      <c r="G1069" s="124"/>
    </row>
    <row r="1070" ht="14.25" customHeight="1">
      <c r="A1070" s="1515" t="s">
        <v>1989</v>
      </c>
      <c r="B1070" s="1210"/>
      <c r="C1070" s="1295" t="s">
        <v>2223</v>
      </c>
      <c r="D1070" s="1307" t="str">
        <f>(1.6*2.1)*4</f>
        <v>13.44</v>
      </c>
      <c r="E1070" s="1254" t="s">
        <v>2224</v>
      </c>
      <c r="F1070" s="854"/>
      <c r="G1070" s="855"/>
    </row>
    <row r="1071" ht="14.25" customHeight="1">
      <c r="A1071" s="1516"/>
      <c r="B1071" s="1517"/>
      <c r="C1071" s="1518" t="s">
        <v>1467</v>
      </c>
      <c r="D1071" s="1519" t="str">
        <f>SUM(D1070)</f>
        <v>13.44</v>
      </c>
      <c r="E1071" s="1520"/>
      <c r="F1071" s="21"/>
      <c r="G1071" s="1521"/>
    </row>
    <row r="1072" ht="14.25" customHeight="1">
      <c r="A1072" s="1589"/>
      <c r="B1072" s="1457"/>
      <c r="C1072" s="1270"/>
      <c r="D1072" s="1270"/>
      <c r="E1072" s="1457"/>
      <c r="F1072" s="1457"/>
      <c r="G1072" s="1458"/>
    </row>
    <row r="1073" ht="14.25" customHeight="1">
      <c r="A1073" s="1199" t="s">
        <v>594</v>
      </c>
      <c r="B1073" s="1200" t="s">
        <v>2225</v>
      </c>
      <c r="C1073" s="28"/>
      <c r="D1073" s="28"/>
      <c r="E1073" s="28"/>
      <c r="F1073" s="28"/>
      <c r="G1073" s="29"/>
    </row>
    <row r="1074" ht="14.25" customHeight="1">
      <c r="A1074" s="1207" t="s">
        <v>2119</v>
      </c>
      <c r="B1074" s="107"/>
      <c r="C1074" s="107"/>
      <c r="D1074" s="107"/>
      <c r="E1074" s="107"/>
      <c r="F1074" s="107"/>
      <c r="G1074" s="781"/>
    </row>
    <row r="1075" ht="14.25" customHeight="1">
      <c r="A1075" s="1208" t="s">
        <v>2120</v>
      </c>
      <c r="B1075" s="561"/>
      <c r="C1075" s="561"/>
      <c r="D1075" s="561"/>
      <c r="E1075" s="561"/>
      <c r="F1075" s="561"/>
      <c r="G1075" s="124"/>
    </row>
    <row r="1076" ht="14.25" customHeight="1">
      <c r="A1076" s="1470" t="s">
        <v>1967</v>
      </c>
      <c r="B1076" s="41"/>
      <c r="C1076" s="1427" t="s">
        <v>2222</v>
      </c>
      <c r="D1076" s="1427" t="s">
        <v>1579</v>
      </c>
      <c r="E1076" s="1429" t="s">
        <v>1580</v>
      </c>
      <c r="F1076" s="561"/>
      <c r="G1076" s="124"/>
    </row>
    <row r="1077" ht="14.25" customHeight="1">
      <c r="A1077" s="1515" t="s">
        <v>1976</v>
      </c>
      <c r="B1077" s="1210"/>
      <c r="C1077" s="1295" t="s">
        <v>2226</v>
      </c>
      <c r="D1077" s="1307" t="str">
        <f>(1.3*2.1)*2</f>
        <v>5.46</v>
      </c>
      <c r="E1077" s="1254" t="s">
        <v>2227</v>
      </c>
      <c r="F1077" s="854"/>
      <c r="G1077" s="855"/>
    </row>
    <row r="1078" ht="14.25" customHeight="1">
      <c r="A1078" s="1515" t="s">
        <v>1978</v>
      </c>
      <c r="B1078" s="1210"/>
      <c r="C1078" s="1295" t="s">
        <v>2228</v>
      </c>
      <c r="D1078" s="1307" t="str">
        <f>(0.8*2.1)*3*2</f>
        <v>10.08</v>
      </c>
      <c r="E1078" s="1258"/>
      <c r="G1078" s="571"/>
    </row>
    <row r="1079" ht="14.25" customHeight="1">
      <c r="A1079" s="1515" t="s">
        <v>260</v>
      </c>
      <c r="B1079" s="1210"/>
      <c r="C1079" s="1295" t="s">
        <v>2229</v>
      </c>
      <c r="D1079" s="1307" t="str">
        <f>(1*2.1)*2</f>
        <v>4.20</v>
      </c>
      <c r="E1079" s="1258"/>
      <c r="G1079" s="571"/>
    </row>
    <row r="1080" ht="14.25" customHeight="1">
      <c r="A1080" s="1515" t="s">
        <v>267</v>
      </c>
      <c r="B1080" s="1210"/>
      <c r="C1080" s="1295" t="s">
        <v>2230</v>
      </c>
      <c r="D1080" s="1307" t="str">
        <f>(0.8*2.1)*2</f>
        <v>3.36</v>
      </c>
      <c r="E1080" s="1258"/>
      <c r="G1080" s="571"/>
    </row>
    <row r="1081" ht="14.25" customHeight="1">
      <c r="A1081" s="1516"/>
      <c r="B1081" s="1517"/>
      <c r="C1081" s="1518" t="s">
        <v>1467</v>
      </c>
      <c r="D1081" s="1590" t="str">
        <f>SUM(D1077:D1080)</f>
        <v>23.10</v>
      </c>
      <c r="E1081" s="1520"/>
      <c r="F1081" s="21"/>
      <c r="G1081" s="1521"/>
    </row>
    <row r="1082" ht="14.25" customHeight="1">
      <c r="A1082" s="1589"/>
      <c r="B1082" s="1457"/>
      <c r="C1082" s="1270"/>
      <c r="D1082" s="1270"/>
      <c r="E1082" s="1457"/>
      <c r="F1082" s="1457"/>
      <c r="G1082" s="1458"/>
    </row>
    <row r="1083" ht="14.25" customHeight="1">
      <c r="A1083" s="1199">
        <v>14.0</v>
      </c>
      <c r="B1083" s="1200" t="s">
        <v>2231</v>
      </c>
      <c r="C1083" s="28"/>
      <c r="D1083" s="28"/>
      <c r="E1083" s="28"/>
      <c r="F1083" s="28"/>
      <c r="G1083" s="29"/>
    </row>
    <row r="1084" ht="14.25" customHeight="1">
      <c r="A1084" s="1199" t="s">
        <v>642</v>
      </c>
      <c r="B1084" s="1200" t="s">
        <v>2232</v>
      </c>
      <c r="C1084" s="28"/>
      <c r="D1084" s="28"/>
      <c r="E1084" s="28"/>
      <c r="F1084" s="28"/>
      <c r="G1084" s="29"/>
    </row>
    <row r="1085" ht="14.25" customHeight="1">
      <c r="A1085" s="1199" t="s">
        <v>2233</v>
      </c>
      <c r="B1085" s="1200" t="s">
        <v>2234</v>
      </c>
      <c r="C1085" s="28"/>
      <c r="D1085" s="28"/>
      <c r="E1085" s="28"/>
      <c r="F1085" s="28"/>
      <c r="G1085" s="29"/>
    </row>
    <row r="1086" ht="14.25" customHeight="1">
      <c r="A1086" s="1223" t="s">
        <v>1577</v>
      </c>
      <c r="B1086" s="561"/>
      <c r="C1086" s="561"/>
      <c r="D1086" s="561"/>
      <c r="E1086" s="561"/>
      <c r="F1086" s="561"/>
      <c r="G1086" s="124"/>
    </row>
    <row r="1087" ht="14.25" customHeight="1">
      <c r="A1087" s="1208" t="s">
        <v>2235</v>
      </c>
      <c r="B1087" s="561"/>
      <c r="C1087" s="561"/>
      <c r="D1087" s="561"/>
      <c r="E1087" s="561"/>
      <c r="F1087" s="561"/>
      <c r="G1087" s="124"/>
    </row>
    <row r="1088" ht="14.25" customHeight="1">
      <c r="A1088" s="1591" t="s">
        <v>2236</v>
      </c>
      <c r="B1088" s="1419" t="s">
        <v>2237</v>
      </c>
      <c r="C1088" s="1592"/>
      <c r="D1088" s="561"/>
      <c r="E1088" s="561"/>
      <c r="F1088" s="561"/>
      <c r="G1088" s="124"/>
    </row>
    <row r="1089" ht="14.25" customHeight="1">
      <c r="A1089" s="1593" t="s">
        <v>2132</v>
      </c>
      <c r="B1089" s="422">
        <v>2.0</v>
      </c>
      <c r="C1089" s="1297"/>
      <c r="D1089" s="854"/>
      <c r="E1089" s="854"/>
      <c r="F1089" s="854"/>
      <c r="G1089" s="855"/>
    </row>
    <row r="1090" ht="14.25" customHeight="1">
      <c r="A1090" s="1593" t="s">
        <v>2130</v>
      </c>
      <c r="B1090" s="422">
        <v>2.0</v>
      </c>
      <c r="C1090" s="38"/>
      <c r="D1090" s="1259"/>
      <c r="E1090" s="1259"/>
      <c r="F1090" s="1259"/>
      <c r="G1090" s="1260"/>
    </row>
    <row r="1091" ht="14.25" customHeight="1">
      <c r="A1091" s="1594" t="s">
        <v>1467</v>
      </c>
      <c r="B1091" s="1424" t="str">
        <f>ROUNDUP(SUM(B1089:B1090),2)</f>
        <v>4.00</v>
      </c>
      <c r="C1091" s="1574"/>
      <c r="D1091" s="127"/>
      <c r="E1091" s="127"/>
      <c r="F1091" s="127"/>
      <c r="G1091" s="128"/>
    </row>
    <row r="1092" ht="14.25" customHeight="1">
      <c r="A1092" s="1183"/>
      <c r="B1092" s="1184"/>
      <c r="C1092" s="1184"/>
      <c r="D1092" s="1184"/>
      <c r="E1092" s="1184"/>
      <c r="F1092" s="1184"/>
      <c r="G1092" s="1185"/>
    </row>
    <row r="1093" ht="14.25" customHeight="1">
      <c r="A1093" s="1199" t="s">
        <v>645</v>
      </c>
      <c r="B1093" s="1200" t="s">
        <v>2238</v>
      </c>
      <c r="C1093" s="28"/>
      <c r="D1093" s="28"/>
      <c r="E1093" s="28"/>
      <c r="F1093" s="28"/>
      <c r="G1093" s="29"/>
    </row>
    <row r="1094" ht="14.25" customHeight="1">
      <c r="A1094" s="1223" t="s">
        <v>1577</v>
      </c>
      <c r="B1094" s="561"/>
      <c r="C1094" s="561"/>
      <c r="D1094" s="561"/>
      <c r="E1094" s="561"/>
      <c r="F1094" s="561"/>
      <c r="G1094" s="124"/>
    </row>
    <row r="1095" ht="14.25" customHeight="1">
      <c r="A1095" s="1208" t="s">
        <v>2235</v>
      </c>
      <c r="B1095" s="561"/>
      <c r="C1095" s="561"/>
      <c r="D1095" s="561"/>
      <c r="E1095" s="561"/>
      <c r="F1095" s="561"/>
      <c r="G1095" s="124"/>
    </row>
    <row r="1096" ht="14.25" customHeight="1">
      <c r="A1096" s="1591" t="s">
        <v>2236</v>
      </c>
      <c r="B1096" s="1419" t="s">
        <v>2237</v>
      </c>
      <c r="C1096" s="1592"/>
      <c r="D1096" s="561"/>
      <c r="E1096" s="561"/>
      <c r="F1096" s="561"/>
      <c r="G1096" s="124"/>
    </row>
    <row r="1097" ht="14.25" customHeight="1">
      <c r="A1097" s="1593" t="s">
        <v>2239</v>
      </c>
      <c r="B1097" s="422">
        <v>1.0</v>
      </c>
      <c r="C1097" s="1595"/>
      <c r="D1097" s="1442"/>
      <c r="E1097" s="1442"/>
      <c r="F1097" s="1442"/>
      <c r="G1097" s="1596"/>
    </row>
    <row r="1098" ht="14.25" customHeight="1">
      <c r="A1098" s="1593" t="s">
        <v>2240</v>
      </c>
      <c r="B1098" s="422">
        <v>1.0</v>
      </c>
      <c r="C1098" s="1595"/>
      <c r="D1098" s="1442"/>
      <c r="E1098" s="1442"/>
      <c r="F1098" s="1442"/>
      <c r="G1098" s="1596"/>
    </row>
    <row r="1099" ht="14.25" customHeight="1">
      <c r="A1099" s="1594" t="s">
        <v>1467</v>
      </c>
      <c r="B1099" s="1424" t="str">
        <f>ROUNDUP(SUM(B1097:B1098),2)</f>
        <v>2.00</v>
      </c>
      <c r="C1099" s="1574"/>
      <c r="D1099" s="127"/>
      <c r="E1099" s="127"/>
      <c r="F1099" s="127"/>
      <c r="G1099" s="128"/>
    </row>
    <row r="1100" ht="14.25" customHeight="1">
      <c r="A1100" s="1183"/>
      <c r="B1100" s="1184"/>
      <c r="C1100" s="1184"/>
      <c r="D1100" s="1184"/>
      <c r="E1100" s="1184"/>
      <c r="F1100" s="1184"/>
      <c r="G1100" s="1185"/>
    </row>
    <row r="1101" ht="14.25" customHeight="1">
      <c r="A1101" s="1199" t="s">
        <v>647</v>
      </c>
      <c r="B1101" s="1200" t="s">
        <v>2241</v>
      </c>
      <c r="C1101" s="28"/>
      <c r="D1101" s="28"/>
      <c r="E1101" s="28"/>
      <c r="F1101" s="28"/>
      <c r="G1101" s="29"/>
    </row>
    <row r="1102" ht="14.25" customHeight="1">
      <c r="A1102" s="1223" t="s">
        <v>1577</v>
      </c>
      <c r="B1102" s="561"/>
      <c r="C1102" s="561"/>
      <c r="D1102" s="561"/>
      <c r="E1102" s="561"/>
      <c r="F1102" s="561"/>
      <c r="G1102" s="124"/>
    </row>
    <row r="1103" ht="14.25" customHeight="1">
      <c r="A1103" s="1208" t="s">
        <v>2235</v>
      </c>
      <c r="B1103" s="561"/>
      <c r="C1103" s="561"/>
      <c r="D1103" s="561"/>
      <c r="E1103" s="561"/>
      <c r="F1103" s="561"/>
      <c r="G1103" s="124"/>
    </row>
    <row r="1104" ht="14.25" customHeight="1">
      <c r="A1104" s="1591" t="s">
        <v>2236</v>
      </c>
      <c r="B1104" s="1419" t="s">
        <v>2237</v>
      </c>
      <c r="C1104" s="1592"/>
      <c r="D1104" s="561"/>
      <c r="E1104" s="561"/>
      <c r="F1104" s="561"/>
      <c r="G1104" s="124"/>
    </row>
    <row r="1105" ht="14.25" customHeight="1">
      <c r="A1105" s="1593" t="s">
        <v>2242</v>
      </c>
      <c r="B1105" s="422">
        <v>1.0</v>
      </c>
      <c r="C1105" s="1297"/>
      <c r="D1105" s="854"/>
      <c r="E1105" s="854"/>
      <c r="F1105" s="854"/>
      <c r="G1105" s="855"/>
    </row>
    <row r="1106" ht="14.25" customHeight="1">
      <c r="A1106" s="1593" t="s">
        <v>2243</v>
      </c>
      <c r="B1106" s="422">
        <v>1.0</v>
      </c>
      <c r="C1106" s="1258"/>
      <c r="G1106" s="571"/>
    </row>
    <row r="1107" ht="14.25" customHeight="1">
      <c r="A1107" s="1597" t="s">
        <v>2244</v>
      </c>
      <c r="B1107" s="422">
        <v>1.0</v>
      </c>
      <c r="C1107" s="1258"/>
      <c r="G1107" s="571"/>
    </row>
    <row r="1108" ht="14.25" customHeight="1">
      <c r="A1108" s="1597" t="s">
        <v>2245</v>
      </c>
      <c r="B1108" s="422">
        <v>1.0</v>
      </c>
      <c r="C1108" s="1258"/>
      <c r="G1108" s="571"/>
    </row>
    <row r="1109" ht="14.25" customHeight="1">
      <c r="A1109" s="1594" t="s">
        <v>1467</v>
      </c>
      <c r="B1109" s="1424" t="str">
        <f>ROUNDUP(SUM(B1105:B1108),2)</f>
        <v>4.00</v>
      </c>
      <c r="C1109" s="1574"/>
      <c r="D1109" s="127"/>
      <c r="E1109" s="127"/>
      <c r="F1109" s="127"/>
      <c r="G1109" s="128"/>
    </row>
    <row r="1110" ht="14.25" customHeight="1">
      <c r="A1110" s="1183"/>
      <c r="B1110" s="1184"/>
      <c r="C1110" s="1184"/>
      <c r="D1110" s="1184"/>
      <c r="E1110" s="1184"/>
      <c r="F1110" s="1184"/>
      <c r="G1110" s="1185"/>
    </row>
    <row r="1111" ht="14.25" customHeight="1">
      <c r="A1111" s="1199" t="s">
        <v>649</v>
      </c>
      <c r="B1111" s="1200" t="s">
        <v>2246</v>
      </c>
      <c r="C1111" s="28"/>
      <c r="D1111" s="28"/>
      <c r="E1111" s="28"/>
      <c r="F1111" s="28"/>
      <c r="G1111" s="29"/>
    </row>
    <row r="1112" ht="14.25" customHeight="1">
      <c r="A1112" s="1223" t="s">
        <v>1577</v>
      </c>
      <c r="B1112" s="561"/>
      <c r="C1112" s="561"/>
      <c r="D1112" s="561"/>
      <c r="E1112" s="561"/>
      <c r="F1112" s="561"/>
      <c r="G1112" s="124"/>
    </row>
    <row r="1113" ht="14.25" customHeight="1">
      <c r="A1113" s="1208" t="s">
        <v>2235</v>
      </c>
      <c r="B1113" s="561"/>
      <c r="C1113" s="561"/>
      <c r="D1113" s="561"/>
      <c r="E1113" s="561"/>
      <c r="F1113" s="561"/>
      <c r="G1113" s="124"/>
    </row>
    <row r="1114" ht="14.25" customHeight="1">
      <c r="A1114" s="1591" t="s">
        <v>2236</v>
      </c>
      <c r="B1114" s="1419" t="s">
        <v>2237</v>
      </c>
      <c r="C1114" s="1592"/>
      <c r="D1114" s="561"/>
      <c r="E1114" s="561"/>
      <c r="F1114" s="561"/>
      <c r="G1114" s="124"/>
    </row>
    <row r="1115" ht="14.25" customHeight="1">
      <c r="A1115" s="1593" t="s">
        <v>2132</v>
      </c>
      <c r="B1115" s="422">
        <v>2.0</v>
      </c>
      <c r="C1115" s="1595"/>
      <c r="G1115" s="571"/>
    </row>
    <row r="1116" ht="14.25" customHeight="1">
      <c r="A1116" s="1593" t="s">
        <v>2130</v>
      </c>
      <c r="B1116" s="422">
        <v>2.0</v>
      </c>
      <c r="C1116" s="1258"/>
      <c r="G1116" s="571"/>
    </row>
    <row r="1117" ht="14.25" customHeight="1">
      <c r="A1117" s="1594" t="s">
        <v>1467</v>
      </c>
      <c r="B1117" s="1424" t="str">
        <f>ROUNDUP(SUM(B1115:B1116),2)</f>
        <v>4.00</v>
      </c>
      <c r="C1117" s="1574"/>
      <c r="D1117" s="127"/>
      <c r="E1117" s="127"/>
      <c r="F1117" s="127"/>
      <c r="G1117" s="128"/>
    </row>
    <row r="1118" ht="14.25" customHeight="1">
      <c r="A1118" s="1312"/>
      <c r="B1118" s="1270"/>
      <c r="C1118" s="1288"/>
      <c r="D1118" s="1288"/>
      <c r="E1118" s="1288"/>
      <c r="F1118" s="1288"/>
      <c r="G1118" s="1577"/>
    </row>
    <row r="1119" ht="14.25" customHeight="1">
      <c r="A1119" s="1199" t="s">
        <v>651</v>
      </c>
      <c r="B1119" s="1200" t="s">
        <v>2247</v>
      </c>
      <c r="C1119" s="28"/>
      <c r="D1119" s="28"/>
      <c r="E1119" s="28"/>
      <c r="F1119" s="28"/>
      <c r="G1119" s="29"/>
    </row>
    <row r="1120" ht="14.25" customHeight="1">
      <c r="A1120" s="1223" t="s">
        <v>1577</v>
      </c>
      <c r="B1120" s="561"/>
      <c r="C1120" s="561"/>
      <c r="D1120" s="561"/>
      <c r="E1120" s="561"/>
      <c r="F1120" s="561"/>
      <c r="G1120" s="124"/>
    </row>
    <row r="1121" ht="14.25" customHeight="1">
      <c r="A1121" s="1208" t="s">
        <v>2235</v>
      </c>
      <c r="B1121" s="561"/>
      <c r="C1121" s="561"/>
      <c r="D1121" s="561"/>
      <c r="E1121" s="561"/>
      <c r="F1121" s="561"/>
      <c r="G1121" s="124"/>
    </row>
    <row r="1122" ht="14.25" customHeight="1">
      <c r="A1122" s="1591" t="s">
        <v>2236</v>
      </c>
      <c r="B1122" s="1419" t="s">
        <v>2237</v>
      </c>
      <c r="C1122" s="1592"/>
      <c r="D1122" s="561"/>
      <c r="E1122" s="561"/>
      <c r="F1122" s="561"/>
      <c r="G1122" s="124"/>
    </row>
    <row r="1123" ht="14.25" customHeight="1">
      <c r="A1123" s="1593" t="s">
        <v>2132</v>
      </c>
      <c r="B1123" s="422">
        <v>2.0</v>
      </c>
      <c r="C1123" s="1598"/>
      <c r="D1123" s="1184"/>
      <c r="E1123" s="1184"/>
      <c r="F1123" s="1184"/>
      <c r="G1123" s="1185"/>
    </row>
    <row r="1124" ht="14.25" customHeight="1">
      <c r="A1124" s="1593" t="s">
        <v>2130</v>
      </c>
      <c r="B1124" s="422">
        <v>2.0</v>
      </c>
      <c r="C1124" s="1598"/>
      <c r="D1124" s="1184"/>
      <c r="E1124" s="1184"/>
      <c r="F1124" s="1184"/>
      <c r="G1124" s="1185"/>
    </row>
    <row r="1125" ht="14.25" customHeight="1">
      <c r="A1125" s="1594" t="s">
        <v>1467</v>
      </c>
      <c r="B1125" s="1424" t="str">
        <f>SUM(B1123:B1124)</f>
        <v>4.00</v>
      </c>
      <c r="C1125" s="1574"/>
      <c r="D1125" s="127"/>
      <c r="E1125" s="127"/>
      <c r="F1125" s="127"/>
      <c r="G1125" s="128"/>
    </row>
    <row r="1126" ht="14.25" customHeight="1">
      <c r="A1126" s="1312"/>
      <c r="B1126" s="1270"/>
      <c r="C1126" s="1288"/>
      <c r="D1126" s="1288"/>
      <c r="E1126" s="1288"/>
      <c r="F1126" s="1288"/>
      <c r="G1126" s="1577"/>
    </row>
    <row r="1127" ht="14.25" customHeight="1">
      <c r="A1127" s="1199" t="s">
        <v>653</v>
      </c>
      <c r="B1127" s="1200" t="s">
        <v>2248</v>
      </c>
      <c r="C1127" s="28"/>
      <c r="D1127" s="28"/>
      <c r="E1127" s="28"/>
      <c r="F1127" s="28"/>
      <c r="G1127" s="29"/>
    </row>
    <row r="1128" ht="14.25" customHeight="1">
      <c r="A1128" s="1223" t="s">
        <v>1577</v>
      </c>
      <c r="B1128" s="561"/>
      <c r="C1128" s="561"/>
      <c r="D1128" s="561"/>
      <c r="E1128" s="561"/>
      <c r="F1128" s="561"/>
      <c r="G1128" s="124"/>
    </row>
    <row r="1129" ht="14.25" customHeight="1">
      <c r="A1129" s="1208" t="s">
        <v>2235</v>
      </c>
      <c r="B1129" s="561"/>
      <c r="C1129" s="561"/>
      <c r="D1129" s="561"/>
      <c r="E1129" s="561"/>
      <c r="F1129" s="561"/>
      <c r="G1129" s="124"/>
    </row>
    <row r="1130" ht="14.25" customHeight="1">
      <c r="A1130" s="1591" t="s">
        <v>2236</v>
      </c>
      <c r="B1130" s="1419" t="s">
        <v>2237</v>
      </c>
      <c r="C1130" s="1592"/>
      <c r="D1130" s="561"/>
      <c r="E1130" s="561"/>
      <c r="F1130" s="561"/>
      <c r="G1130" s="124"/>
    </row>
    <row r="1131" ht="14.25" customHeight="1">
      <c r="A1131" s="1593" t="s">
        <v>2242</v>
      </c>
      <c r="B1131" s="422">
        <v>1.0</v>
      </c>
      <c r="C1131" s="1598" t="s">
        <v>2249</v>
      </c>
      <c r="D1131" s="1184"/>
      <c r="E1131" s="1184"/>
      <c r="F1131" s="1184"/>
      <c r="G1131" s="1185"/>
    </row>
    <row r="1132" ht="14.25" customHeight="1">
      <c r="A1132" s="1593" t="s">
        <v>2250</v>
      </c>
      <c r="B1132" s="422">
        <v>1.0</v>
      </c>
      <c r="C1132" s="1598" t="s">
        <v>2249</v>
      </c>
      <c r="D1132" s="1184"/>
      <c r="E1132" s="1184"/>
      <c r="F1132" s="1184"/>
      <c r="G1132" s="1185"/>
    </row>
    <row r="1133" ht="14.25" customHeight="1">
      <c r="A1133" s="1594" t="s">
        <v>1467</v>
      </c>
      <c r="B1133" s="1424" t="str">
        <f>ROUNDUP(SUM(B1131:B1132),2)</f>
        <v>2.00</v>
      </c>
      <c r="C1133" s="1574"/>
      <c r="D1133" s="127"/>
      <c r="E1133" s="127"/>
      <c r="F1133" s="127"/>
      <c r="G1133" s="128"/>
    </row>
    <row r="1134" ht="14.25" customHeight="1">
      <c r="A1134" s="1312"/>
      <c r="B1134" s="1270"/>
      <c r="C1134" s="1288"/>
      <c r="D1134" s="1288"/>
      <c r="E1134" s="1288"/>
      <c r="F1134" s="1288"/>
      <c r="G1134" s="1577"/>
    </row>
    <row r="1135" ht="14.25" customHeight="1">
      <c r="A1135" s="1199" t="s">
        <v>655</v>
      </c>
      <c r="B1135" s="1200" t="s">
        <v>2251</v>
      </c>
      <c r="C1135" s="28"/>
      <c r="D1135" s="28"/>
      <c r="E1135" s="28"/>
      <c r="F1135" s="28"/>
      <c r="G1135" s="29"/>
    </row>
    <row r="1136" ht="14.25" customHeight="1">
      <c r="A1136" s="1223" t="s">
        <v>1577</v>
      </c>
      <c r="B1136" s="561"/>
      <c r="C1136" s="561"/>
      <c r="D1136" s="561"/>
      <c r="E1136" s="561"/>
      <c r="F1136" s="561"/>
      <c r="G1136" s="124"/>
    </row>
    <row r="1137" ht="14.25" customHeight="1">
      <c r="A1137" s="1208" t="s">
        <v>2235</v>
      </c>
      <c r="B1137" s="561"/>
      <c r="C1137" s="561"/>
      <c r="D1137" s="561"/>
      <c r="E1137" s="561"/>
      <c r="F1137" s="561"/>
      <c r="G1137" s="124"/>
    </row>
    <row r="1138" ht="14.25" customHeight="1">
      <c r="A1138" s="1591" t="s">
        <v>2236</v>
      </c>
      <c r="B1138" s="1419" t="s">
        <v>2237</v>
      </c>
      <c r="C1138" s="1592"/>
      <c r="D1138" s="561"/>
      <c r="E1138" s="561"/>
      <c r="F1138" s="561"/>
      <c r="G1138" s="124"/>
    </row>
    <row r="1139" ht="14.25" customHeight="1">
      <c r="A1139" s="1593" t="s">
        <v>2128</v>
      </c>
      <c r="B1139" s="422">
        <v>1.0</v>
      </c>
      <c r="C1139" s="1595"/>
      <c r="G1139" s="571"/>
    </row>
    <row r="1140" ht="14.25" customHeight="1">
      <c r="A1140" s="1594" t="s">
        <v>1467</v>
      </c>
      <c r="B1140" s="1424" t="str">
        <f>ROUNDUP(SUM(B1139),2)</f>
        <v>1.00</v>
      </c>
      <c r="C1140" s="1574"/>
      <c r="D1140" s="127"/>
      <c r="E1140" s="127"/>
      <c r="F1140" s="127"/>
      <c r="G1140" s="128"/>
    </row>
    <row r="1141" ht="14.25" customHeight="1">
      <c r="A1141" s="1312"/>
      <c r="B1141" s="1270"/>
      <c r="C1141" s="1288"/>
      <c r="D1141" s="1288"/>
      <c r="E1141" s="1288"/>
      <c r="F1141" s="1288"/>
      <c r="G1141" s="1577"/>
    </row>
    <row r="1142" ht="14.25" customHeight="1">
      <c r="A1142" s="1199" t="s">
        <v>657</v>
      </c>
      <c r="B1142" s="1200" t="s">
        <v>2252</v>
      </c>
      <c r="C1142" s="28"/>
      <c r="D1142" s="28"/>
      <c r="E1142" s="28"/>
      <c r="F1142" s="28"/>
      <c r="G1142" s="29"/>
    </row>
    <row r="1143" ht="14.25" customHeight="1">
      <c r="A1143" s="1199" t="s">
        <v>2253</v>
      </c>
      <c r="B1143" s="1200" t="s">
        <v>2254</v>
      </c>
      <c r="C1143" s="28"/>
      <c r="D1143" s="28"/>
      <c r="E1143" s="28"/>
      <c r="F1143" s="28"/>
      <c r="G1143" s="29"/>
    </row>
    <row r="1144" ht="14.25" customHeight="1">
      <c r="A1144" s="1223" t="s">
        <v>1577</v>
      </c>
      <c r="B1144" s="561"/>
      <c r="C1144" s="561"/>
      <c r="D1144" s="561"/>
      <c r="E1144" s="561"/>
      <c r="F1144" s="561"/>
      <c r="G1144" s="124"/>
    </row>
    <row r="1145" ht="14.25" customHeight="1">
      <c r="A1145" s="1208" t="s">
        <v>2235</v>
      </c>
      <c r="B1145" s="561"/>
      <c r="C1145" s="561"/>
      <c r="D1145" s="561"/>
      <c r="E1145" s="561"/>
      <c r="F1145" s="561"/>
      <c r="G1145" s="124"/>
    </row>
    <row r="1146" ht="14.25" customHeight="1">
      <c r="A1146" s="1591" t="s">
        <v>2006</v>
      </c>
      <c r="B1146" s="1419" t="s">
        <v>2255</v>
      </c>
      <c r="C1146" s="1599"/>
      <c r="D1146" s="561"/>
      <c r="E1146" s="1600"/>
      <c r="F1146" s="1601"/>
      <c r="G1146" s="1602"/>
    </row>
    <row r="1147" ht="14.25" customHeight="1">
      <c r="A1147" s="1593" t="s">
        <v>2256</v>
      </c>
      <c r="B1147" s="422">
        <v>2.0</v>
      </c>
      <c r="C1147" s="1297"/>
      <c r="D1147" s="854"/>
      <c r="E1147" s="854"/>
      <c r="F1147" s="854"/>
      <c r="G1147" s="855"/>
    </row>
    <row r="1148" ht="14.25" customHeight="1">
      <c r="A1148" s="1593" t="s">
        <v>2257</v>
      </c>
      <c r="B1148" s="422">
        <v>2.0</v>
      </c>
      <c r="C1148" s="1258"/>
      <c r="G1148" s="571"/>
    </row>
    <row r="1149" ht="14.25" customHeight="1">
      <c r="A1149" s="1594" t="s">
        <v>2258</v>
      </c>
      <c r="B1149" s="1424" t="str">
        <f>ROUNDUP(B1147+B1148,2)</f>
        <v>4.00</v>
      </c>
      <c r="C1149" s="1492"/>
      <c r="D1149" s="127"/>
      <c r="E1149" s="127"/>
      <c r="F1149" s="127"/>
      <c r="G1149" s="128"/>
    </row>
    <row r="1150" ht="14.25" customHeight="1">
      <c r="A1150" s="1183"/>
      <c r="B1150" s="1184"/>
      <c r="C1150" s="1184"/>
      <c r="D1150" s="1184"/>
      <c r="E1150" s="1184"/>
      <c r="F1150" s="1184"/>
      <c r="G1150" s="1185"/>
    </row>
    <row r="1151" ht="14.25" customHeight="1">
      <c r="A1151" s="1199" t="s">
        <v>2259</v>
      </c>
      <c r="B1151" s="1200" t="s">
        <v>2260</v>
      </c>
      <c r="C1151" s="28"/>
      <c r="D1151" s="28"/>
      <c r="E1151" s="28"/>
      <c r="F1151" s="28"/>
      <c r="G1151" s="29"/>
    </row>
    <row r="1152" ht="14.25" customHeight="1">
      <c r="A1152" s="1223" t="s">
        <v>1577</v>
      </c>
      <c r="B1152" s="561"/>
      <c r="C1152" s="561"/>
      <c r="D1152" s="561"/>
      <c r="E1152" s="561"/>
      <c r="F1152" s="561"/>
      <c r="G1152" s="124"/>
    </row>
    <row r="1153" ht="14.25" customHeight="1">
      <c r="A1153" s="1208" t="s">
        <v>2235</v>
      </c>
      <c r="B1153" s="561"/>
      <c r="C1153" s="561"/>
      <c r="D1153" s="561"/>
      <c r="E1153" s="561"/>
      <c r="F1153" s="561"/>
      <c r="G1153" s="124"/>
    </row>
    <row r="1154" ht="14.25" customHeight="1">
      <c r="A1154" s="1591" t="s">
        <v>2006</v>
      </c>
      <c r="B1154" s="1603" t="s">
        <v>2261</v>
      </c>
      <c r="C1154" s="1599"/>
      <c r="D1154" s="561"/>
      <c r="E1154" s="561"/>
      <c r="F1154" s="1600"/>
      <c r="G1154" s="1602"/>
    </row>
    <row r="1155" ht="14.25" customHeight="1">
      <c r="A1155" s="1593" t="s">
        <v>2256</v>
      </c>
      <c r="B1155" s="1256">
        <v>1.0</v>
      </c>
      <c r="C1155" s="1297"/>
      <c r="D1155" s="854"/>
      <c r="E1155" s="854"/>
      <c r="F1155" s="854"/>
      <c r="G1155" s="855"/>
    </row>
    <row r="1156" ht="14.25" customHeight="1">
      <c r="A1156" s="1593" t="s">
        <v>2262</v>
      </c>
      <c r="B1156" s="1256">
        <v>1.0</v>
      </c>
      <c r="C1156" s="1258"/>
      <c r="G1156" s="571"/>
    </row>
    <row r="1157" ht="14.25" customHeight="1">
      <c r="A1157" s="1594" t="s">
        <v>2258</v>
      </c>
      <c r="B1157" s="1424" t="str">
        <f>ROUNDUP(B1155+B1156,2)</f>
        <v>2.00</v>
      </c>
      <c r="C1157" s="1492"/>
      <c r="D1157" s="127"/>
      <c r="E1157" s="127"/>
      <c r="F1157" s="127"/>
      <c r="G1157" s="128"/>
    </row>
    <row r="1158" ht="14.25" customHeight="1">
      <c r="A1158" s="1183"/>
      <c r="B1158" s="1184"/>
      <c r="C1158" s="1184"/>
      <c r="D1158" s="1184"/>
      <c r="E1158" s="1184"/>
      <c r="F1158" s="1184"/>
      <c r="G1158" s="1185"/>
    </row>
    <row r="1159" ht="14.25" customHeight="1">
      <c r="A1159" s="1199" t="s">
        <v>2263</v>
      </c>
      <c r="B1159" s="1200" t="s">
        <v>2264</v>
      </c>
      <c r="C1159" s="28"/>
      <c r="D1159" s="28"/>
      <c r="E1159" s="28"/>
      <c r="F1159" s="28"/>
      <c r="G1159" s="29"/>
    </row>
    <row r="1160" ht="14.25" customHeight="1">
      <c r="A1160" s="1223" t="s">
        <v>1577</v>
      </c>
      <c r="B1160" s="561"/>
      <c r="C1160" s="561"/>
      <c r="D1160" s="561"/>
      <c r="E1160" s="561"/>
      <c r="F1160" s="561"/>
      <c r="G1160" s="124"/>
    </row>
    <row r="1161" ht="14.25" customHeight="1">
      <c r="A1161" s="1208" t="s">
        <v>2235</v>
      </c>
      <c r="B1161" s="561"/>
      <c r="C1161" s="561"/>
      <c r="D1161" s="561"/>
      <c r="E1161" s="561"/>
      <c r="F1161" s="561"/>
      <c r="G1161" s="124"/>
    </row>
    <row r="1162" ht="14.25" customHeight="1">
      <c r="A1162" s="1591" t="s">
        <v>2006</v>
      </c>
      <c r="B1162" s="1419" t="s">
        <v>2265</v>
      </c>
      <c r="C1162" s="1599"/>
      <c r="D1162" s="561"/>
      <c r="E1162" s="561"/>
      <c r="F1162" s="561"/>
      <c r="G1162" s="124"/>
    </row>
    <row r="1163" ht="14.25" customHeight="1">
      <c r="A1163" s="1593" t="s">
        <v>2256</v>
      </c>
      <c r="B1163" s="422">
        <v>1.0</v>
      </c>
      <c r="C1163" s="1297"/>
      <c r="D1163" s="854"/>
      <c r="E1163" s="854"/>
      <c r="F1163" s="854"/>
      <c r="G1163" s="855"/>
    </row>
    <row r="1164" ht="14.25" customHeight="1">
      <c r="A1164" s="1593" t="s">
        <v>2262</v>
      </c>
      <c r="B1164" s="422">
        <v>1.0</v>
      </c>
      <c r="C1164" s="1258"/>
      <c r="G1164" s="571"/>
    </row>
    <row r="1165" ht="14.25" customHeight="1">
      <c r="A1165" s="1594" t="s">
        <v>2258</v>
      </c>
      <c r="B1165" s="1424" t="str">
        <f>ROUNDUP(B1163+B1164,2)</f>
        <v>2.00</v>
      </c>
      <c r="C1165" s="1492"/>
      <c r="D1165" s="127"/>
      <c r="E1165" s="127"/>
      <c r="F1165" s="127"/>
      <c r="G1165" s="128"/>
    </row>
    <row r="1166" ht="14.25" customHeight="1">
      <c r="A1166" s="1183"/>
      <c r="B1166" s="1184"/>
      <c r="C1166" s="1184"/>
      <c r="D1166" s="1184"/>
      <c r="E1166" s="1184"/>
      <c r="F1166" s="1184"/>
      <c r="G1166" s="1185"/>
    </row>
    <row r="1167" ht="14.25" customHeight="1">
      <c r="A1167" s="1199" t="s">
        <v>2266</v>
      </c>
      <c r="B1167" s="1200" t="s">
        <v>2267</v>
      </c>
      <c r="C1167" s="28"/>
      <c r="D1167" s="28"/>
      <c r="E1167" s="28"/>
      <c r="F1167" s="28"/>
      <c r="G1167" s="29"/>
    </row>
    <row r="1168" ht="14.25" customHeight="1">
      <c r="A1168" s="1223" t="s">
        <v>1577</v>
      </c>
      <c r="B1168" s="561"/>
      <c r="C1168" s="561"/>
      <c r="D1168" s="561"/>
      <c r="E1168" s="561"/>
      <c r="F1168" s="561"/>
      <c r="G1168" s="124"/>
    </row>
    <row r="1169" ht="14.25" customHeight="1">
      <c r="A1169" s="1208" t="s">
        <v>2235</v>
      </c>
      <c r="B1169" s="561"/>
      <c r="C1169" s="561"/>
      <c r="D1169" s="561"/>
      <c r="E1169" s="561"/>
      <c r="F1169" s="561"/>
      <c r="G1169" s="124"/>
    </row>
    <row r="1170" ht="14.25" customHeight="1">
      <c r="A1170" s="1591" t="s">
        <v>2006</v>
      </c>
      <c r="B1170" s="1419" t="s">
        <v>1621</v>
      </c>
      <c r="C1170" s="1599"/>
      <c r="D1170" s="561"/>
      <c r="E1170" s="561"/>
      <c r="F1170" s="1600"/>
      <c r="G1170" s="1602"/>
    </row>
    <row r="1171" ht="14.25" customHeight="1">
      <c r="A1171" s="1593" t="s">
        <v>2262</v>
      </c>
      <c r="B1171" s="1256">
        <v>1.0</v>
      </c>
      <c r="C1171" s="1184"/>
      <c r="D1171" s="1184"/>
      <c r="E1171" s="1604"/>
      <c r="F1171" s="1604"/>
      <c r="G1171" s="1605"/>
    </row>
    <row r="1172" ht="14.25" customHeight="1">
      <c r="A1172" s="1593" t="s">
        <v>2268</v>
      </c>
      <c r="B1172" s="1256">
        <v>1.0</v>
      </c>
      <c r="C1172" s="1184"/>
      <c r="D1172" s="1184"/>
      <c r="E1172" s="1184"/>
      <c r="F1172" s="1184"/>
      <c r="G1172" s="1185"/>
    </row>
    <row r="1173" ht="14.25" customHeight="1">
      <c r="A1173" s="1593" t="s">
        <v>2269</v>
      </c>
      <c r="B1173" s="1297">
        <v>1.0</v>
      </c>
      <c r="C1173" s="1184"/>
      <c r="D1173" s="1184"/>
      <c r="E1173" s="1184" t="s">
        <v>2270</v>
      </c>
      <c r="F1173" s="1184"/>
      <c r="G1173" s="1185"/>
    </row>
    <row r="1174" ht="14.25" customHeight="1">
      <c r="A1174" s="1593" t="s">
        <v>2271</v>
      </c>
      <c r="B1174" s="1297">
        <v>1.0</v>
      </c>
      <c r="C1174" s="1184"/>
      <c r="D1174" s="1184"/>
      <c r="E1174" s="1184"/>
      <c r="F1174" s="1184"/>
      <c r="G1174" s="1185"/>
    </row>
    <row r="1175" ht="14.25" customHeight="1">
      <c r="A1175" s="1209"/>
      <c r="B1175" s="1297"/>
      <c r="C1175" s="1184"/>
      <c r="D1175" s="1184"/>
      <c r="E1175" s="1184"/>
      <c r="F1175" s="1184"/>
      <c r="G1175" s="1185"/>
    </row>
    <row r="1176" ht="14.25" customHeight="1">
      <c r="A1176" s="1209"/>
      <c r="B1176" s="1297"/>
      <c r="C1176" s="1184"/>
      <c r="D1176" s="1184"/>
      <c r="E1176" s="1184"/>
      <c r="F1176" s="1184"/>
      <c r="G1176" s="1185"/>
    </row>
    <row r="1177" ht="14.25" customHeight="1">
      <c r="A1177" s="1209"/>
      <c r="B1177" s="1297"/>
      <c r="C1177" s="1184"/>
      <c r="D1177" s="1184"/>
      <c r="E1177" s="1184"/>
      <c r="F1177" s="1184"/>
      <c r="G1177" s="1185"/>
    </row>
    <row r="1178" ht="14.25" customHeight="1">
      <c r="A1178" s="1594" t="s">
        <v>2258</v>
      </c>
      <c r="B1178" s="1424" t="str">
        <f>ROUNDUP(B1171+B1172+B1173+B1174,2)</f>
        <v>4.00</v>
      </c>
      <c r="C1178" s="1492"/>
      <c r="D1178" s="127"/>
      <c r="E1178" s="127"/>
      <c r="F1178" s="127"/>
      <c r="G1178" s="128"/>
    </row>
    <row r="1179" ht="14.25" customHeight="1">
      <c r="A1179" s="1183"/>
      <c r="B1179" s="1184"/>
      <c r="C1179" s="1184"/>
      <c r="D1179" s="1184"/>
      <c r="E1179" s="1184"/>
      <c r="F1179" s="1184"/>
      <c r="G1179" s="1185"/>
    </row>
    <row r="1180" ht="14.25" customHeight="1">
      <c r="A1180" s="1199" t="s">
        <v>2272</v>
      </c>
      <c r="B1180" s="1200" t="s">
        <v>2273</v>
      </c>
      <c r="C1180" s="28"/>
      <c r="D1180" s="28"/>
      <c r="E1180" s="28"/>
      <c r="F1180" s="28"/>
      <c r="G1180" s="29"/>
    </row>
    <row r="1181" ht="14.25" customHeight="1">
      <c r="A1181" s="1223" t="s">
        <v>1577</v>
      </c>
      <c r="B1181" s="561"/>
      <c r="C1181" s="561"/>
      <c r="D1181" s="561"/>
      <c r="E1181" s="561"/>
      <c r="F1181" s="561"/>
      <c r="G1181" s="124"/>
    </row>
    <row r="1182" ht="14.25" customHeight="1">
      <c r="A1182" s="1208" t="s">
        <v>2235</v>
      </c>
      <c r="B1182" s="561"/>
      <c r="C1182" s="561"/>
      <c r="D1182" s="561"/>
      <c r="E1182" s="561"/>
      <c r="F1182" s="561"/>
      <c r="G1182" s="124"/>
    </row>
    <row r="1183" ht="14.25" customHeight="1">
      <c r="A1183" s="1591" t="s">
        <v>2006</v>
      </c>
      <c r="B1183" s="1419" t="s">
        <v>1621</v>
      </c>
      <c r="C1183" s="1599"/>
      <c r="D1183" s="561"/>
      <c r="E1183" s="561"/>
      <c r="F1183" s="1600"/>
      <c r="G1183" s="1602"/>
    </row>
    <row r="1184" ht="14.25" customHeight="1">
      <c r="A1184" s="1593" t="s">
        <v>2262</v>
      </c>
      <c r="B1184" s="422">
        <v>1.0</v>
      </c>
      <c r="C1184" s="1606"/>
      <c r="D1184" s="1604"/>
      <c r="E1184" s="1604"/>
      <c r="F1184" s="1604"/>
      <c r="G1184" s="1605"/>
    </row>
    <row r="1185" ht="14.25" customHeight="1">
      <c r="A1185" s="1593" t="s">
        <v>2256</v>
      </c>
      <c r="B1185" s="422">
        <v>1.0</v>
      </c>
      <c r="C1185" s="1598"/>
      <c r="D1185" s="1184"/>
      <c r="E1185" s="1184"/>
      <c r="F1185" s="1184"/>
      <c r="G1185" s="1185"/>
    </row>
    <row r="1186" ht="14.25" customHeight="1">
      <c r="A1186" s="1209" t="s">
        <v>2269</v>
      </c>
      <c r="B1186" s="1607">
        <v>1.0</v>
      </c>
      <c r="C1186" s="1598"/>
      <c r="D1186" s="1184"/>
      <c r="E1186" s="1184"/>
      <c r="F1186" s="1184"/>
      <c r="G1186" s="1185"/>
    </row>
    <row r="1187" ht="14.25" customHeight="1">
      <c r="A1187" s="1209" t="s">
        <v>2271</v>
      </c>
      <c r="B1187" s="1607">
        <v>1.0</v>
      </c>
      <c r="C1187" s="1598"/>
      <c r="D1187" s="1184"/>
      <c r="E1187" s="1184"/>
      <c r="F1187" s="1184"/>
      <c r="G1187" s="1185"/>
    </row>
    <row r="1188" ht="14.25" customHeight="1">
      <c r="A1188" s="1209"/>
      <c r="B1188" s="1607"/>
      <c r="C1188" s="1598"/>
      <c r="D1188" s="1184"/>
      <c r="E1188" s="1184"/>
      <c r="F1188" s="1184"/>
      <c r="G1188" s="1185"/>
    </row>
    <row r="1189" ht="14.25" customHeight="1">
      <c r="A1189" s="1209"/>
      <c r="B1189" s="1607"/>
      <c r="C1189" s="1598"/>
      <c r="D1189" s="1184"/>
      <c r="E1189" s="1184"/>
      <c r="F1189" s="1184"/>
      <c r="G1189" s="1185"/>
    </row>
    <row r="1190" ht="14.25" customHeight="1">
      <c r="A1190" s="1209"/>
      <c r="B1190" s="1607"/>
      <c r="C1190" s="1598"/>
      <c r="D1190" s="1184"/>
      <c r="E1190" s="1184"/>
      <c r="F1190" s="1184"/>
      <c r="G1190" s="1185"/>
    </row>
    <row r="1191" ht="14.25" customHeight="1">
      <c r="A1191" s="1209"/>
      <c r="B1191" s="1607"/>
      <c r="C1191" s="1598"/>
      <c r="D1191" s="1184"/>
      <c r="E1191" s="1184"/>
      <c r="F1191" s="1184"/>
      <c r="G1191" s="1185"/>
    </row>
    <row r="1192" ht="14.25" customHeight="1">
      <c r="A1192" s="1594" t="s">
        <v>2258</v>
      </c>
      <c r="B1192" s="1424" t="str">
        <f>ROUNDUP(B1184+B1185+B1186+B1187,2)</f>
        <v>4.00</v>
      </c>
      <c r="C1192" s="1492"/>
      <c r="D1192" s="127"/>
      <c r="E1192" s="127"/>
      <c r="F1192" s="127"/>
      <c r="G1192" s="128"/>
    </row>
    <row r="1193" ht="14.25" customHeight="1">
      <c r="A1193" s="1608"/>
      <c r="B1193" s="1608"/>
      <c r="C1193" s="1608"/>
      <c r="D1193" s="1608"/>
      <c r="E1193" s="1608"/>
      <c r="F1193" s="1608"/>
      <c r="G1193" s="1608"/>
    </row>
    <row r="1194" ht="14.25" customHeight="1">
      <c r="A1194" s="1199" t="s">
        <v>2274</v>
      </c>
      <c r="B1194" s="1200" t="s">
        <v>2275</v>
      </c>
      <c r="C1194" s="28"/>
      <c r="D1194" s="28"/>
      <c r="E1194" s="28"/>
      <c r="F1194" s="28"/>
      <c r="G1194" s="29"/>
    </row>
    <row r="1195" ht="14.25" customHeight="1">
      <c r="A1195" s="1223" t="s">
        <v>1577</v>
      </c>
      <c r="B1195" s="561"/>
      <c r="C1195" s="561"/>
      <c r="D1195" s="561"/>
      <c r="E1195" s="561"/>
      <c r="F1195" s="561"/>
      <c r="G1195" s="124"/>
    </row>
    <row r="1196" ht="14.25" customHeight="1">
      <c r="A1196" s="1208" t="s">
        <v>2235</v>
      </c>
      <c r="B1196" s="561"/>
      <c r="C1196" s="561"/>
      <c r="D1196" s="561"/>
      <c r="E1196" s="561"/>
      <c r="F1196" s="561"/>
      <c r="G1196" s="124"/>
    </row>
    <row r="1197" ht="14.25" customHeight="1">
      <c r="A1197" s="1591" t="s">
        <v>2006</v>
      </c>
      <c r="B1197" s="1419" t="s">
        <v>1621</v>
      </c>
      <c r="C1197" s="1420"/>
      <c r="D1197" s="561"/>
      <c r="E1197" s="561"/>
      <c r="F1197" s="1600"/>
      <c r="G1197" s="1602"/>
    </row>
    <row r="1198" ht="14.25" customHeight="1">
      <c r="A1198" s="1593" t="s">
        <v>2262</v>
      </c>
      <c r="B1198" s="422">
        <v>1.0</v>
      </c>
      <c r="C1198" s="1604"/>
      <c r="D1198" s="1604"/>
      <c r="E1198" s="1604"/>
      <c r="F1198" s="1604"/>
      <c r="G1198" s="1605"/>
    </row>
    <row r="1199" ht="14.25" customHeight="1">
      <c r="A1199" s="1593" t="s">
        <v>2256</v>
      </c>
      <c r="B1199" s="422">
        <v>1.0</v>
      </c>
      <c r="C1199" s="1184"/>
      <c r="D1199" s="1184"/>
      <c r="E1199" s="1184"/>
      <c r="F1199" s="1184"/>
      <c r="G1199" s="1185"/>
    </row>
    <row r="1200" ht="14.25" customHeight="1">
      <c r="A1200" s="1593" t="s">
        <v>2269</v>
      </c>
      <c r="B1200" s="422">
        <v>2.0</v>
      </c>
      <c r="C1200" s="1184"/>
      <c r="D1200" s="1184"/>
      <c r="E1200" s="1184" t="s">
        <v>2276</v>
      </c>
      <c r="F1200" s="1184"/>
      <c r="G1200" s="1185"/>
    </row>
    <row r="1201" ht="14.25" customHeight="1">
      <c r="A1201" s="1593" t="s">
        <v>2271</v>
      </c>
      <c r="B1201" s="422">
        <v>2.0</v>
      </c>
      <c r="C1201" s="1184"/>
      <c r="D1201" s="1184"/>
      <c r="E1201" s="1184"/>
      <c r="F1201" s="1184"/>
      <c r="G1201" s="1185"/>
    </row>
    <row r="1202" ht="14.25" customHeight="1">
      <c r="A1202" s="1593"/>
      <c r="B1202" s="422"/>
      <c r="C1202" s="1184"/>
      <c r="D1202" s="1184"/>
      <c r="E1202" s="1184"/>
      <c r="F1202" s="1184"/>
      <c r="G1202" s="1185"/>
    </row>
    <row r="1203" ht="14.25" customHeight="1">
      <c r="A1203" s="1593"/>
      <c r="B1203" s="422"/>
      <c r="C1203" s="1184"/>
      <c r="D1203" s="1184"/>
      <c r="E1203" s="1184"/>
      <c r="F1203" s="1184"/>
      <c r="G1203" s="1185"/>
    </row>
    <row r="1204" ht="14.25" customHeight="1">
      <c r="A1204" s="1593"/>
      <c r="B1204" s="422"/>
      <c r="C1204" s="1184"/>
      <c r="D1204" s="1184"/>
      <c r="E1204" s="1184"/>
      <c r="F1204" s="1184"/>
      <c r="G1204" s="1185"/>
    </row>
    <row r="1205" ht="14.25" customHeight="1">
      <c r="A1205" s="1609" t="s">
        <v>2258</v>
      </c>
      <c r="B1205" s="1424" t="str">
        <f>ROUNDUP(B1198+B1200+B1201+B1199,2)</f>
        <v>6.00</v>
      </c>
      <c r="C1205" s="1579"/>
      <c r="D1205" s="127"/>
      <c r="E1205" s="127"/>
      <c r="F1205" s="127"/>
      <c r="G1205" s="128"/>
    </row>
    <row r="1206" ht="14.25" customHeight="1">
      <c r="A1206" s="1183"/>
      <c r="B1206" s="1184"/>
      <c r="C1206" s="1184"/>
      <c r="D1206" s="1184"/>
      <c r="E1206" s="1184"/>
      <c r="F1206" s="1184"/>
      <c r="G1206" s="1185"/>
    </row>
    <row r="1207" ht="14.25" customHeight="1">
      <c r="A1207" s="1199" t="s">
        <v>2277</v>
      </c>
      <c r="B1207" s="1200" t="s">
        <v>2278</v>
      </c>
      <c r="C1207" s="28"/>
      <c r="D1207" s="28"/>
      <c r="E1207" s="28"/>
      <c r="F1207" s="28"/>
      <c r="G1207" s="29"/>
    </row>
    <row r="1208" ht="14.25" customHeight="1">
      <c r="A1208" s="1223" t="s">
        <v>1577</v>
      </c>
      <c r="B1208" s="561"/>
      <c r="C1208" s="561"/>
      <c r="D1208" s="561"/>
      <c r="E1208" s="561"/>
      <c r="F1208" s="561"/>
      <c r="G1208" s="124"/>
    </row>
    <row r="1209" ht="14.25" customHeight="1">
      <c r="A1209" s="1208" t="s">
        <v>2235</v>
      </c>
      <c r="B1209" s="561"/>
      <c r="C1209" s="561"/>
      <c r="D1209" s="561"/>
      <c r="E1209" s="561"/>
      <c r="F1209" s="561"/>
      <c r="G1209" s="124"/>
    </row>
    <row r="1210" ht="14.25" customHeight="1">
      <c r="A1210" s="1591" t="s">
        <v>2006</v>
      </c>
      <c r="B1210" s="1419" t="s">
        <v>1621</v>
      </c>
      <c r="C1210" s="1599" t="s">
        <v>2279</v>
      </c>
      <c r="D1210" s="561"/>
      <c r="E1210" s="561"/>
      <c r="F1210" s="1600"/>
      <c r="G1210" s="1602"/>
    </row>
    <row r="1211" ht="14.25" customHeight="1">
      <c r="A1211" s="1593" t="s">
        <v>2262</v>
      </c>
      <c r="B1211" s="422">
        <v>1.0</v>
      </c>
      <c r="C1211" s="1297" t="str">
        <f>0.45*0.9*4</f>
        <v>1.62</v>
      </c>
      <c r="D1211" s="854"/>
      <c r="E1211" s="854"/>
      <c r="F1211" s="854"/>
      <c r="G1211" s="855"/>
    </row>
    <row r="1212" ht="14.25" customHeight="1">
      <c r="A1212" s="1593" t="s">
        <v>2256</v>
      </c>
      <c r="B1212" s="422">
        <v>1.0</v>
      </c>
      <c r="C1212" s="1258"/>
      <c r="G1212" s="571"/>
    </row>
    <row r="1213" ht="14.25" customHeight="1">
      <c r="A1213" s="1593" t="s">
        <v>2280</v>
      </c>
      <c r="B1213" s="1607">
        <v>1.0</v>
      </c>
      <c r="C1213" s="1258"/>
      <c r="G1213" s="571"/>
    </row>
    <row r="1214" ht="14.25" customHeight="1">
      <c r="A1214" s="1593" t="s">
        <v>2281</v>
      </c>
      <c r="B1214" s="1607">
        <v>1.0</v>
      </c>
      <c r="C1214" s="1258"/>
      <c r="G1214" s="571"/>
    </row>
    <row r="1215" ht="14.25" customHeight="1">
      <c r="A1215" s="1594" t="s">
        <v>2258</v>
      </c>
      <c r="B1215" s="1424" t="str">
        <f>SUM(B1211:B1214)</f>
        <v>4.00</v>
      </c>
      <c r="C1215" s="1492"/>
      <c r="D1215" s="127"/>
      <c r="E1215" s="127"/>
      <c r="F1215" s="127"/>
      <c r="G1215" s="128"/>
    </row>
    <row r="1216" ht="14.25" customHeight="1">
      <c r="A1216" s="1610"/>
      <c r="B1216" s="1608"/>
      <c r="C1216" s="1608"/>
      <c r="D1216" s="1608"/>
      <c r="E1216" s="1608"/>
      <c r="F1216" s="1608"/>
      <c r="G1216" s="1611"/>
    </row>
    <row r="1217" ht="14.25" customHeight="1">
      <c r="A1217" s="1199" t="s">
        <v>659</v>
      </c>
      <c r="B1217" s="1200" t="s">
        <v>2282</v>
      </c>
      <c r="C1217" s="28"/>
      <c r="D1217" s="28"/>
      <c r="E1217" s="28"/>
      <c r="F1217" s="28"/>
      <c r="G1217" s="29"/>
    </row>
    <row r="1218" ht="14.25" customHeight="1">
      <c r="A1218" s="1199" t="s">
        <v>2283</v>
      </c>
      <c r="B1218" s="1200" t="s">
        <v>2284</v>
      </c>
      <c r="C1218" s="28"/>
      <c r="D1218" s="28"/>
      <c r="E1218" s="28"/>
      <c r="F1218" s="28"/>
      <c r="G1218" s="29"/>
    </row>
    <row r="1219" ht="14.25" customHeight="1">
      <c r="A1219" s="1223" t="s">
        <v>1577</v>
      </c>
      <c r="B1219" s="561"/>
      <c r="C1219" s="561"/>
      <c r="D1219" s="561"/>
      <c r="E1219" s="561"/>
      <c r="F1219" s="561"/>
      <c r="G1219" s="124"/>
    </row>
    <row r="1220" ht="14.25" customHeight="1">
      <c r="A1220" s="1208" t="s">
        <v>2235</v>
      </c>
      <c r="B1220" s="561"/>
      <c r="C1220" s="561"/>
      <c r="D1220" s="561"/>
      <c r="E1220" s="561"/>
      <c r="F1220" s="561"/>
      <c r="G1220" s="124"/>
    </row>
    <row r="1221" ht="14.25" customHeight="1">
      <c r="A1221" s="1591" t="s">
        <v>2285</v>
      </c>
      <c r="B1221" s="1419" t="s">
        <v>1621</v>
      </c>
      <c r="C1221" s="1612"/>
      <c r="D1221" s="1613"/>
      <c r="E1221" s="1420"/>
      <c r="F1221" s="561"/>
      <c r="G1221" s="124"/>
    </row>
    <row r="1222" ht="14.25" customHeight="1">
      <c r="A1222" s="1593" t="s">
        <v>2128</v>
      </c>
      <c r="B1222" s="1320">
        <v>1.0</v>
      </c>
      <c r="C1222" s="1256"/>
      <c r="D1222" s="561"/>
      <c r="E1222" s="561"/>
      <c r="F1222" s="561"/>
      <c r="G1222" s="124"/>
    </row>
    <row r="1223" ht="14.25" customHeight="1">
      <c r="A1223" s="1614" t="s">
        <v>2258</v>
      </c>
      <c r="B1223" s="1615" t="str">
        <f>ROUNDUP(B1222,2)</f>
        <v>1.00</v>
      </c>
      <c r="C1223" s="1616"/>
      <c r="D1223" s="561"/>
      <c r="E1223" s="561"/>
      <c r="F1223" s="561"/>
      <c r="G1223" s="124"/>
    </row>
    <row r="1224" ht="14.25" customHeight="1">
      <c r="A1224" s="1183"/>
      <c r="B1224" s="1184"/>
      <c r="C1224" s="1184"/>
      <c r="D1224" s="1184"/>
      <c r="E1224" s="1184"/>
      <c r="F1224" s="1184"/>
      <c r="G1224" s="1185"/>
    </row>
    <row r="1225" ht="14.25" customHeight="1">
      <c r="A1225" s="1199">
        <v>15.0</v>
      </c>
      <c r="B1225" s="1200" t="s">
        <v>2286</v>
      </c>
      <c r="C1225" s="28"/>
      <c r="D1225" s="28"/>
      <c r="E1225" s="28"/>
      <c r="F1225" s="28"/>
      <c r="G1225" s="29"/>
    </row>
    <row r="1226" ht="14.25" customHeight="1">
      <c r="A1226" s="1456"/>
      <c r="B1226" s="1280"/>
      <c r="C1226" s="1270"/>
      <c r="D1226" s="1289"/>
      <c r="E1226" s="1457"/>
      <c r="F1226" s="1457"/>
      <c r="G1226" s="1458"/>
    </row>
    <row r="1227" ht="14.25" customHeight="1">
      <c r="A1227" s="1199">
        <v>16.0</v>
      </c>
      <c r="B1227" s="1200" t="s">
        <v>2287</v>
      </c>
      <c r="C1227" s="28"/>
      <c r="D1227" s="28"/>
      <c r="E1227" s="28"/>
      <c r="F1227" s="28"/>
      <c r="G1227" s="29"/>
    </row>
    <row r="1228" ht="14.25" customHeight="1">
      <c r="A1228" s="1456"/>
      <c r="B1228" s="1280"/>
      <c r="C1228" s="1270"/>
      <c r="D1228" s="1289"/>
      <c r="E1228" s="1457"/>
      <c r="F1228" s="1457"/>
      <c r="G1228" s="1458"/>
    </row>
    <row r="1229" ht="14.25" customHeight="1">
      <c r="A1229" s="1199">
        <v>17.0</v>
      </c>
      <c r="B1229" s="1200" t="s">
        <v>2288</v>
      </c>
      <c r="C1229" s="28"/>
      <c r="D1229" s="28"/>
      <c r="E1229" s="28"/>
      <c r="F1229" s="28"/>
      <c r="G1229" s="29"/>
    </row>
    <row r="1230" ht="14.25" customHeight="1">
      <c r="A1230" s="1456"/>
      <c r="B1230" s="1280"/>
      <c r="C1230" s="1270"/>
      <c r="D1230" s="1289"/>
      <c r="E1230" s="1457"/>
      <c r="F1230" s="1457"/>
      <c r="G1230" s="1458"/>
    </row>
    <row r="1231" ht="14.25" customHeight="1">
      <c r="A1231" s="1199">
        <v>18.0</v>
      </c>
      <c r="B1231" s="1200" t="s">
        <v>350</v>
      </c>
      <c r="C1231" s="28"/>
      <c r="D1231" s="28"/>
      <c r="E1231" s="28"/>
      <c r="F1231" s="28"/>
      <c r="G1231" s="29"/>
    </row>
    <row r="1232" ht="14.25" customHeight="1">
      <c r="A1232" s="1456"/>
      <c r="B1232" s="1280"/>
      <c r="C1232" s="1270"/>
      <c r="D1232" s="1289"/>
      <c r="E1232" s="1457"/>
      <c r="F1232" s="1457"/>
      <c r="G1232" s="1458"/>
    </row>
    <row r="1233" ht="14.25" customHeight="1">
      <c r="A1233" s="1199">
        <v>19.0</v>
      </c>
      <c r="B1233" s="1200" t="s">
        <v>2289</v>
      </c>
      <c r="C1233" s="28"/>
      <c r="D1233" s="28"/>
      <c r="E1233" s="28"/>
      <c r="F1233" s="28"/>
      <c r="G1233" s="29"/>
    </row>
    <row r="1234" ht="14.25" customHeight="1">
      <c r="A1234" s="1183"/>
      <c r="B1234" s="1184"/>
      <c r="C1234" s="1184"/>
      <c r="D1234" s="1184"/>
      <c r="E1234" s="1184"/>
      <c r="F1234" s="1184"/>
      <c r="G1234" s="1185"/>
    </row>
    <row r="1235" ht="14.25" customHeight="1">
      <c r="A1235" s="1199">
        <v>20.0</v>
      </c>
      <c r="B1235" s="1200" t="s">
        <v>2290</v>
      </c>
      <c r="C1235" s="28"/>
      <c r="D1235" s="28"/>
      <c r="E1235" s="28"/>
      <c r="F1235" s="28"/>
      <c r="G1235" s="29"/>
    </row>
    <row r="1236" ht="14.25" customHeight="1">
      <c r="A1236" s="1183"/>
      <c r="B1236" s="1184"/>
      <c r="C1236" s="1184"/>
      <c r="D1236" s="1184"/>
      <c r="E1236" s="1184"/>
      <c r="F1236" s="1184"/>
      <c r="G1236" s="1185"/>
    </row>
    <row r="1237" ht="14.25" customHeight="1">
      <c r="A1237" s="1199">
        <v>21.0</v>
      </c>
      <c r="B1237" s="1200" t="s">
        <v>863</v>
      </c>
      <c r="C1237" s="28"/>
      <c r="D1237" s="28"/>
      <c r="E1237" s="28"/>
      <c r="F1237" s="28"/>
      <c r="G1237" s="29"/>
    </row>
    <row r="1238" ht="14.25" customHeight="1">
      <c r="A1238" s="1199" t="s">
        <v>2291</v>
      </c>
      <c r="B1238" s="1200" t="s">
        <v>1626</v>
      </c>
      <c r="C1238" s="28"/>
      <c r="D1238" s="28"/>
      <c r="E1238" s="28"/>
      <c r="F1238" s="28"/>
      <c r="G1238" s="29"/>
    </row>
    <row r="1239" ht="14.25" customHeight="1">
      <c r="A1239" s="1207" t="s">
        <v>1577</v>
      </c>
      <c r="B1239" s="107"/>
      <c r="C1239" s="107"/>
      <c r="D1239" s="107"/>
      <c r="E1239" s="107"/>
      <c r="F1239" s="107"/>
      <c r="G1239" s="781"/>
    </row>
    <row r="1240" ht="14.25" customHeight="1">
      <c r="A1240" s="1617" t="s">
        <v>1627</v>
      </c>
      <c r="B1240" s="561"/>
      <c r="C1240" s="561"/>
      <c r="D1240" s="561"/>
      <c r="E1240" s="561"/>
      <c r="F1240" s="561"/>
      <c r="G1240" s="124"/>
    </row>
    <row r="1241" ht="14.25" customHeight="1">
      <c r="A1241" s="1291" t="s">
        <v>1593</v>
      </c>
      <c r="B1241" s="41"/>
      <c r="C1241" s="1292" t="s">
        <v>1628</v>
      </c>
      <c r="D1241" s="1292" t="s">
        <v>1622</v>
      </c>
      <c r="E1241" s="1293" t="s">
        <v>1580</v>
      </c>
      <c r="F1241" s="561"/>
      <c r="G1241" s="124"/>
    </row>
    <row r="1242" ht="14.25" customHeight="1">
      <c r="A1242" s="1294" t="s">
        <v>2292</v>
      </c>
      <c r="B1242" s="41"/>
      <c r="C1242" s="1295" t="s">
        <v>2293</v>
      </c>
      <c r="D1242" s="1296" t="str">
        <f>31.95+108.42+13.7+68.14+4.46</f>
        <v>226.67</v>
      </c>
      <c r="E1242" s="1297" t="s">
        <v>1631</v>
      </c>
      <c r="F1242" s="854"/>
      <c r="G1242" s="855"/>
    </row>
    <row r="1243" ht="14.25" customHeight="1">
      <c r="A1243" s="1324" t="s">
        <v>1623</v>
      </c>
      <c r="B1243" s="127"/>
      <c r="C1243" s="712"/>
      <c r="D1243" s="1618" t="str">
        <f>SUM(D1242)</f>
        <v>226.67</v>
      </c>
      <c r="E1243" s="1574" t="str">
        <f>D1243*0.07</f>
        <v>15.8669</v>
      </c>
      <c r="F1243" s="127"/>
      <c r="G1243" s="128"/>
    </row>
    <row r="1244" ht="14.25" customHeight="1">
      <c r="A1244" s="1183"/>
      <c r="B1244" s="1184"/>
      <c r="C1244" s="1184"/>
      <c r="D1244" s="1184"/>
      <c r="E1244" s="1184"/>
      <c r="F1244" s="1184"/>
      <c r="G1244" s="1185"/>
    </row>
    <row r="1245" ht="14.25" customHeight="1">
      <c r="A1245" s="1199" t="s">
        <v>2294</v>
      </c>
      <c r="B1245" s="1200" t="s">
        <v>1632</v>
      </c>
      <c r="C1245" s="28"/>
      <c r="D1245" s="28"/>
      <c r="E1245" s="28"/>
      <c r="F1245" s="28"/>
      <c r="G1245" s="29"/>
    </row>
    <row r="1246" ht="14.25" customHeight="1">
      <c r="A1246" s="1207" t="s">
        <v>1577</v>
      </c>
      <c r="B1246" s="107"/>
      <c r="C1246" s="107"/>
      <c r="D1246" s="107"/>
      <c r="E1246" s="107"/>
      <c r="F1246" s="107"/>
      <c r="G1246" s="781"/>
    </row>
    <row r="1247" ht="14.25" customHeight="1">
      <c r="A1247" s="1617" t="s">
        <v>1627</v>
      </c>
      <c r="B1247" s="561"/>
      <c r="C1247" s="561"/>
      <c r="D1247" s="561"/>
      <c r="E1247" s="561"/>
      <c r="F1247" s="561"/>
      <c r="G1247" s="124"/>
    </row>
    <row r="1248" ht="14.25" customHeight="1">
      <c r="A1248" s="1291" t="s">
        <v>1593</v>
      </c>
      <c r="B1248" s="41"/>
      <c r="C1248" s="1292" t="s">
        <v>1633</v>
      </c>
      <c r="D1248" s="1292" t="s">
        <v>1634</v>
      </c>
      <c r="E1248" s="1293" t="s">
        <v>1580</v>
      </c>
      <c r="F1248" s="561"/>
      <c r="G1248" s="124"/>
    </row>
    <row r="1249" ht="14.25" customHeight="1">
      <c r="A1249" s="1294" t="s">
        <v>2295</v>
      </c>
      <c r="B1249" s="41"/>
      <c r="C1249" s="1296" t="str">
        <f>27.48+41.78</f>
        <v>69.26</v>
      </c>
      <c r="D1249" s="1296" t="str">
        <f>C1249</f>
        <v>69.26</v>
      </c>
      <c r="E1249" s="1297"/>
      <c r="F1249" s="854"/>
      <c r="G1249" s="855"/>
    </row>
    <row r="1250" ht="14.25" customHeight="1">
      <c r="A1250" s="1324" t="s">
        <v>1623</v>
      </c>
      <c r="B1250" s="127"/>
      <c r="C1250" s="712"/>
      <c r="D1250" s="1618" t="str">
        <f>SUM(D1249)</f>
        <v>69.26</v>
      </c>
      <c r="E1250" s="1574"/>
      <c r="F1250" s="127"/>
      <c r="G1250" s="128"/>
    </row>
    <row r="1251" ht="14.25" customHeight="1">
      <c r="A1251" s="1302"/>
      <c r="B1251" s="1303"/>
      <c r="C1251" s="1303"/>
      <c r="D1251" s="1238"/>
      <c r="E1251" s="1304"/>
      <c r="F1251" s="1304"/>
      <c r="G1251" s="1305"/>
    </row>
    <row r="1252" ht="14.25" customHeight="1">
      <c r="A1252" s="1199" t="s">
        <v>2296</v>
      </c>
      <c r="B1252" s="1200" t="s">
        <v>2297</v>
      </c>
      <c r="C1252" s="28"/>
      <c r="D1252" s="28"/>
      <c r="E1252" s="28"/>
      <c r="F1252" s="28"/>
      <c r="G1252" s="29"/>
    </row>
    <row r="1253" ht="14.25" customHeight="1">
      <c r="A1253" s="1207" t="s">
        <v>1577</v>
      </c>
      <c r="B1253" s="107"/>
      <c r="C1253" s="107"/>
      <c r="D1253" s="107"/>
      <c r="E1253" s="107"/>
      <c r="F1253" s="107"/>
      <c r="G1253" s="781"/>
    </row>
    <row r="1254" ht="14.25" customHeight="1">
      <c r="A1254" s="1617" t="s">
        <v>1627</v>
      </c>
      <c r="B1254" s="561"/>
      <c r="C1254" s="561"/>
      <c r="D1254" s="561"/>
      <c r="E1254" s="561"/>
      <c r="F1254" s="561"/>
      <c r="G1254" s="124"/>
    </row>
    <row r="1255" ht="14.25" customHeight="1">
      <c r="A1255" s="1291" t="s">
        <v>1593</v>
      </c>
      <c r="B1255" s="41"/>
      <c r="C1255" s="1292" t="s">
        <v>1633</v>
      </c>
      <c r="D1255" s="1292" t="s">
        <v>1634</v>
      </c>
      <c r="E1255" s="1293" t="s">
        <v>1580</v>
      </c>
      <c r="F1255" s="561"/>
      <c r="G1255" s="124"/>
    </row>
    <row r="1256" ht="14.25" customHeight="1">
      <c r="A1256" s="1536">
        <v>4.17</v>
      </c>
      <c r="B1256" s="41"/>
      <c r="C1256" s="1296">
        <v>4.17</v>
      </c>
      <c r="D1256" s="1296" t="str">
        <f>C1256</f>
        <v>4.17</v>
      </c>
      <c r="E1256" s="1297"/>
      <c r="F1256" s="854"/>
      <c r="G1256" s="855"/>
    </row>
    <row r="1257" ht="14.25" customHeight="1">
      <c r="A1257" s="1324" t="s">
        <v>1623</v>
      </c>
      <c r="B1257" s="127"/>
      <c r="C1257" s="712"/>
      <c r="D1257" s="1618" t="str">
        <f>SUM(D1256)</f>
        <v>4.17</v>
      </c>
      <c r="E1257" s="1574"/>
      <c r="F1257" s="127"/>
      <c r="G1257" s="128"/>
    </row>
    <row r="1258" ht="14.25" customHeight="1">
      <c r="A1258" s="1302"/>
      <c r="B1258" s="1303"/>
      <c r="C1258" s="1303"/>
      <c r="D1258" s="1238"/>
      <c r="E1258" s="1304"/>
      <c r="F1258" s="1304"/>
      <c r="G1258" s="1305"/>
    </row>
    <row r="1259" ht="14.25" customHeight="1">
      <c r="A1259" s="1199" t="s">
        <v>2298</v>
      </c>
      <c r="B1259" s="1200" t="s">
        <v>1637</v>
      </c>
      <c r="C1259" s="28"/>
      <c r="D1259" s="28"/>
      <c r="E1259" s="28"/>
      <c r="F1259" s="28"/>
      <c r="G1259" s="29"/>
    </row>
    <row r="1260" ht="14.25" customHeight="1">
      <c r="A1260" s="1281" t="s">
        <v>1577</v>
      </c>
      <c r="B1260" s="1259"/>
      <c r="C1260" s="1259"/>
      <c r="D1260" s="1259"/>
      <c r="E1260" s="1259"/>
      <c r="F1260" s="1259"/>
      <c r="G1260" s="1260"/>
    </row>
    <row r="1261" ht="14.25" customHeight="1">
      <c r="A1261" s="1617" t="s">
        <v>1627</v>
      </c>
      <c r="B1261" s="561"/>
      <c r="C1261" s="561"/>
      <c r="D1261" s="561"/>
      <c r="E1261" s="561"/>
      <c r="F1261" s="561"/>
      <c r="G1261" s="124"/>
    </row>
    <row r="1262" ht="14.25" customHeight="1">
      <c r="A1262" s="1306" t="s">
        <v>1593</v>
      </c>
      <c r="B1262" s="1292" t="s">
        <v>1579</v>
      </c>
      <c r="C1262" s="1292" t="s">
        <v>1638</v>
      </c>
      <c r="D1262" s="1292" t="s">
        <v>1622</v>
      </c>
      <c r="E1262" s="1293" t="s">
        <v>1580</v>
      </c>
      <c r="F1262" s="561"/>
      <c r="G1262" s="124"/>
    </row>
    <row r="1263" ht="14.25" customHeight="1">
      <c r="A1263" s="1282" t="s">
        <v>1639</v>
      </c>
      <c r="B1263" s="1230" t="s">
        <v>2299</v>
      </c>
      <c r="C1263" s="1230" t="str">
        <f>72.98+21.26+99.48+15.52</f>
        <v>209.24</v>
      </c>
      <c r="D1263" s="1283" t="str">
        <f>ROUNDUP(C1263,2)</f>
        <v>209.24</v>
      </c>
      <c r="E1263" s="1307" t="s">
        <v>1641</v>
      </c>
      <c r="F1263" s="854"/>
      <c r="G1263" s="855"/>
    </row>
    <row r="1264" ht="14.25" customHeight="1">
      <c r="A1264" s="1324" t="s">
        <v>1623</v>
      </c>
      <c r="B1264" s="127"/>
      <c r="C1264" s="687"/>
      <c r="D1264" s="1618" t="str">
        <f>ROUNDUP(D1263,2)</f>
        <v>209.24</v>
      </c>
      <c r="E1264" s="1574"/>
      <c r="F1264" s="127"/>
      <c r="G1264" s="128"/>
    </row>
    <row r="1265" ht="14.25" customHeight="1">
      <c r="A1265" s="1183"/>
      <c r="B1265" s="1184"/>
      <c r="C1265" s="1184"/>
      <c r="D1265" s="1184"/>
      <c r="E1265" s="1184"/>
      <c r="F1265" s="1184"/>
      <c r="G1265" s="1185"/>
    </row>
    <row r="1266" ht="14.25" customHeight="1">
      <c r="A1266" s="1199" t="s">
        <v>2300</v>
      </c>
      <c r="B1266" s="1200" t="s">
        <v>1643</v>
      </c>
      <c r="C1266" s="28"/>
      <c r="D1266" s="28"/>
      <c r="E1266" s="28"/>
      <c r="F1266" s="28"/>
      <c r="G1266" s="29"/>
    </row>
    <row r="1267" ht="14.25" customHeight="1">
      <c r="A1267" s="1281" t="s">
        <v>1577</v>
      </c>
      <c r="B1267" s="1259"/>
      <c r="C1267" s="1259"/>
      <c r="D1267" s="1259"/>
      <c r="E1267" s="1259"/>
      <c r="F1267" s="1259"/>
      <c r="G1267" s="1260"/>
    </row>
    <row r="1268" ht="14.25" customHeight="1">
      <c r="A1268" s="1617" t="s">
        <v>1627</v>
      </c>
      <c r="B1268" s="561"/>
      <c r="C1268" s="561"/>
      <c r="D1268" s="561"/>
      <c r="E1268" s="561"/>
      <c r="F1268" s="561"/>
      <c r="G1268" s="124"/>
    </row>
    <row r="1269" ht="14.25" customHeight="1">
      <c r="A1269" s="1306" t="s">
        <v>1593</v>
      </c>
      <c r="B1269" s="1292" t="s">
        <v>1579</v>
      </c>
      <c r="C1269" s="1292" t="s">
        <v>1638</v>
      </c>
      <c r="D1269" s="1292" t="s">
        <v>1622</v>
      </c>
      <c r="E1269" s="1293" t="s">
        <v>1580</v>
      </c>
      <c r="F1269" s="561"/>
      <c r="G1269" s="124"/>
    </row>
    <row r="1270" ht="14.25" customHeight="1">
      <c r="A1270" s="1282" t="s">
        <v>1644</v>
      </c>
      <c r="B1270" s="1230" t="s">
        <v>2301</v>
      </c>
      <c r="C1270" s="1230" t="str">
        <f>72.98+21.26+99.48</f>
        <v>193.72</v>
      </c>
      <c r="D1270" s="1283" t="str">
        <f>ROUNDUP(C1270,2)</f>
        <v>193.72</v>
      </c>
      <c r="E1270" s="1307" t="s">
        <v>1641</v>
      </c>
      <c r="F1270" s="854"/>
      <c r="G1270" s="855"/>
    </row>
    <row r="1271" ht="14.25" customHeight="1">
      <c r="A1271" s="1324" t="s">
        <v>1623</v>
      </c>
      <c r="B1271" s="127"/>
      <c r="C1271" s="687"/>
      <c r="D1271" s="1618" t="str">
        <f>ROUNDUP(D1270,2)</f>
        <v>193.72</v>
      </c>
      <c r="E1271" s="1574"/>
      <c r="F1271" s="127"/>
      <c r="G1271" s="128"/>
    </row>
    <row r="1272" ht="14.25" customHeight="1">
      <c r="A1272" s="1308"/>
      <c r="B1272" s="28"/>
      <c r="C1272" s="28"/>
      <c r="D1272" s="28"/>
      <c r="E1272" s="28"/>
      <c r="F1272" s="28"/>
      <c r="G1272" s="29"/>
    </row>
    <row r="1273" ht="14.25" customHeight="1">
      <c r="A1273" s="1199" t="s">
        <v>2302</v>
      </c>
      <c r="B1273" s="1200" t="s">
        <v>1647</v>
      </c>
      <c r="C1273" s="28"/>
      <c r="D1273" s="28"/>
      <c r="E1273" s="28"/>
      <c r="F1273" s="28"/>
      <c r="G1273" s="29"/>
    </row>
    <row r="1274" ht="14.25" customHeight="1">
      <c r="A1274" s="1281" t="s">
        <v>1577</v>
      </c>
      <c r="B1274" s="1259"/>
      <c r="C1274" s="1259"/>
      <c r="D1274" s="1259"/>
      <c r="E1274" s="1259"/>
      <c r="F1274" s="1259"/>
      <c r="G1274" s="1260"/>
    </row>
    <row r="1275" ht="14.25" customHeight="1">
      <c r="A1275" s="1617" t="s">
        <v>1627</v>
      </c>
      <c r="B1275" s="561"/>
      <c r="C1275" s="561"/>
      <c r="D1275" s="561"/>
      <c r="E1275" s="561"/>
      <c r="F1275" s="561"/>
      <c r="G1275" s="124"/>
    </row>
    <row r="1276" ht="14.25" customHeight="1">
      <c r="A1276" s="1306" t="s">
        <v>1593</v>
      </c>
      <c r="B1276" s="1292" t="s">
        <v>1579</v>
      </c>
      <c r="C1276" s="1292" t="s">
        <v>1638</v>
      </c>
      <c r="D1276" s="1292" t="s">
        <v>1622</v>
      </c>
      <c r="E1276" s="1293" t="s">
        <v>1580</v>
      </c>
      <c r="F1276" s="561"/>
      <c r="G1276" s="124"/>
    </row>
    <row r="1277" ht="14.25" customHeight="1">
      <c r="A1277" s="1282" t="s">
        <v>1648</v>
      </c>
      <c r="B1277" s="1230">
        <v>15.52</v>
      </c>
      <c r="C1277" s="1230">
        <v>15.52</v>
      </c>
      <c r="D1277" s="1283" t="str">
        <f>ROUNDUP(C1277,2)</f>
        <v>15.52</v>
      </c>
      <c r="E1277" s="1307"/>
      <c r="F1277" s="854"/>
      <c r="G1277" s="855"/>
    </row>
    <row r="1278" ht="14.25" customHeight="1">
      <c r="A1278" s="1324" t="s">
        <v>1623</v>
      </c>
      <c r="B1278" s="127"/>
      <c r="C1278" s="687"/>
      <c r="D1278" s="1618" t="str">
        <f>ROUNDUP(D1277,2)</f>
        <v>15.52</v>
      </c>
      <c r="E1278" s="1574"/>
      <c r="F1278" s="127"/>
      <c r="G1278" s="128"/>
    </row>
    <row r="1279" ht="14.25" customHeight="1">
      <c r="A1279" s="1183"/>
      <c r="B1279" s="1184"/>
      <c r="C1279" s="1184"/>
      <c r="D1279" s="1184"/>
      <c r="E1279" s="1184"/>
      <c r="F1279" s="1184"/>
      <c r="G1279" s="1185"/>
    </row>
    <row r="1280" ht="14.25" customHeight="1">
      <c r="A1280" s="1199" t="s">
        <v>2303</v>
      </c>
      <c r="B1280" s="1200" t="s">
        <v>1650</v>
      </c>
      <c r="C1280" s="28"/>
      <c r="D1280" s="28"/>
      <c r="E1280" s="28"/>
      <c r="F1280" s="28"/>
      <c r="G1280" s="29"/>
    </row>
    <row r="1281" ht="14.25" customHeight="1">
      <c r="A1281" s="1281" t="s">
        <v>1577</v>
      </c>
      <c r="B1281" s="1259"/>
      <c r="C1281" s="1259"/>
      <c r="D1281" s="1259"/>
      <c r="E1281" s="1259"/>
      <c r="F1281" s="1259"/>
      <c r="G1281" s="1260"/>
    </row>
    <row r="1282" ht="14.25" customHeight="1">
      <c r="A1282" s="1617" t="s">
        <v>1627</v>
      </c>
      <c r="B1282" s="561"/>
      <c r="C1282" s="561"/>
      <c r="D1282" s="561"/>
      <c r="E1282" s="561"/>
      <c r="F1282" s="561"/>
      <c r="G1282" s="124"/>
    </row>
    <row r="1283" ht="14.25" customHeight="1">
      <c r="A1283" s="1306" t="s">
        <v>1593</v>
      </c>
      <c r="B1283" s="1293" t="s">
        <v>1651</v>
      </c>
      <c r="C1283" s="41"/>
      <c r="D1283" s="1293" t="s">
        <v>1580</v>
      </c>
      <c r="E1283" s="561"/>
      <c r="F1283" s="561"/>
      <c r="G1283" s="124"/>
    </row>
    <row r="1284" ht="14.25" customHeight="1">
      <c r="A1284" s="1282" t="s">
        <v>1652</v>
      </c>
      <c r="B1284" s="1274">
        <v>12.0</v>
      </c>
      <c r="C1284" s="41"/>
      <c r="D1284" s="1309"/>
      <c r="E1284" s="561"/>
      <c r="F1284" s="561"/>
      <c r="G1284" s="124"/>
    </row>
    <row r="1285" ht="14.25" customHeight="1">
      <c r="A1285" s="1619" t="s">
        <v>1623</v>
      </c>
      <c r="B1285" s="1620" t="str">
        <f>SUM(B1284)</f>
        <v>12.00</v>
      </c>
      <c r="C1285" s="712"/>
      <c r="D1285" s="1439"/>
      <c r="E1285" s="1440"/>
      <c r="F1285" s="1440"/>
      <c r="G1285" s="1441"/>
    </row>
    <row r="1286" ht="14.25" customHeight="1">
      <c r="A1286" s="1183"/>
      <c r="B1286" s="1184"/>
      <c r="C1286" s="1184"/>
      <c r="D1286" s="1184"/>
      <c r="E1286" s="1184"/>
      <c r="F1286" s="1184"/>
      <c r="G1286" s="1185"/>
    </row>
    <row r="1287" ht="14.25" customHeight="1">
      <c r="A1287" s="1199" t="s">
        <v>2304</v>
      </c>
      <c r="B1287" s="1200" t="s">
        <v>1654</v>
      </c>
      <c r="C1287" s="28"/>
      <c r="D1287" s="28"/>
      <c r="E1287" s="28"/>
      <c r="F1287" s="28"/>
      <c r="G1287" s="29"/>
    </row>
    <row r="1288" ht="14.25" customHeight="1">
      <c r="A1288" s="1281" t="s">
        <v>1577</v>
      </c>
      <c r="B1288" s="1259"/>
      <c r="C1288" s="1259"/>
      <c r="D1288" s="1259"/>
      <c r="E1288" s="1259"/>
      <c r="F1288" s="1259"/>
      <c r="G1288" s="1260"/>
    </row>
    <row r="1289" ht="14.25" customHeight="1">
      <c r="A1289" s="1617" t="s">
        <v>1627</v>
      </c>
      <c r="B1289" s="561"/>
      <c r="C1289" s="561"/>
      <c r="D1289" s="561"/>
      <c r="E1289" s="561"/>
      <c r="F1289" s="561"/>
      <c r="G1289" s="124"/>
    </row>
    <row r="1290" ht="14.25" customHeight="1">
      <c r="A1290" s="1306" t="s">
        <v>1593</v>
      </c>
      <c r="B1290" s="1293" t="s">
        <v>1651</v>
      </c>
      <c r="C1290" s="41"/>
      <c r="D1290" s="1293" t="s">
        <v>1580</v>
      </c>
      <c r="E1290" s="561"/>
      <c r="F1290" s="561"/>
      <c r="G1290" s="124"/>
    </row>
    <row r="1291" ht="14.25" customHeight="1">
      <c r="A1291" s="1282" t="s">
        <v>1652</v>
      </c>
      <c r="B1291" s="1274">
        <v>7.0</v>
      </c>
      <c r="C1291" s="41"/>
      <c r="D1291" s="1309"/>
      <c r="E1291" s="561"/>
      <c r="F1291" s="561"/>
      <c r="G1291" s="124"/>
    </row>
    <row r="1292" ht="14.25" customHeight="1">
      <c r="A1292" s="1619" t="s">
        <v>1623</v>
      </c>
      <c r="B1292" s="1620" t="str">
        <f>SUM(B1291)</f>
        <v>7.00</v>
      </c>
      <c r="C1292" s="712"/>
      <c r="D1292" s="1439"/>
      <c r="E1292" s="1440"/>
      <c r="F1292" s="1440"/>
      <c r="G1292" s="1441"/>
    </row>
    <row r="1293" ht="14.25" customHeight="1">
      <c r="A1293" s="1312"/>
      <c r="B1293" s="1313"/>
      <c r="C1293" s="1313"/>
      <c r="D1293" s="1314"/>
      <c r="E1293" s="1314"/>
      <c r="F1293" s="1314"/>
      <c r="G1293" s="1315"/>
    </row>
    <row r="1294" ht="14.25" customHeight="1">
      <c r="A1294" s="1308"/>
      <c r="B1294" s="28"/>
      <c r="C1294" s="28"/>
      <c r="D1294" s="28"/>
      <c r="E1294" s="28"/>
      <c r="F1294" s="28"/>
      <c r="G1294" s="29"/>
    </row>
    <row r="1295" ht="14.25" customHeight="1">
      <c r="A1295" s="1199" t="s">
        <v>2305</v>
      </c>
      <c r="B1295" s="1200" t="s">
        <v>1656</v>
      </c>
      <c r="C1295" s="28"/>
      <c r="D1295" s="28"/>
      <c r="E1295" s="28"/>
      <c r="F1295" s="28"/>
      <c r="G1295" s="29"/>
    </row>
    <row r="1296" ht="14.25" customHeight="1">
      <c r="A1296" s="1223" t="s">
        <v>1577</v>
      </c>
      <c r="B1296" s="561"/>
      <c r="C1296" s="561"/>
      <c r="D1296" s="561"/>
      <c r="E1296" s="561"/>
      <c r="F1296" s="561"/>
      <c r="G1296" s="124"/>
    </row>
    <row r="1297" ht="14.25" customHeight="1">
      <c r="A1297" s="1617" t="s">
        <v>1627</v>
      </c>
      <c r="B1297" s="561"/>
      <c r="C1297" s="561"/>
      <c r="D1297" s="561"/>
      <c r="E1297" s="561"/>
      <c r="F1297" s="561"/>
      <c r="G1297" s="124"/>
    </row>
    <row r="1298" ht="14.25" customHeight="1">
      <c r="A1298" s="1591" t="s">
        <v>1633</v>
      </c>
      <c r="B1298" s="1419" t="s">
        <v>1657</v>
      </c>
      <c r="C1298" s="1419" t="s">
        <v>1587</v>
      </c>
      <c r="D1298" s="1419" t="s">
        <v>1658</v>
      </c>
      <c r="E1298" s="1621" t="s">
        <v>1638</v>
      </c>
      <c r="F1298" s="1622" t="s">
        <v>1580</v>
      </c>
      <c r="G1298" s="1319"/>
    </row>
    <row r="1299" ht="14.25" customHeight="1">
      <c r="A1299" s="1282" t="s">
        <v>2306</v>
      </c>
      <c r="B1299" s="1320" t="str">
        <f>24.9+44.7</f>
        <v>69.60</v>
      </c>
      <c r="C1299" s="1257">
        <v>0.4</v>
      </c>
      <c r="D1299" s="1321" t="str">
        <f>(3.9*2*0.4)+(1.5*0.4)</f>
        <v>3.72</v>
      </c>
      <c r="E1299" s="1322" t="str">
        <f>((69.6*0.4))-D1299</f>
        <v>24.12</v>
      </c>
      <c r="F1299" s="1323"/>
      <c r="G1299" s="571"/>
    </row>
    <row r="1300" ht="14.25" customHeight="1">
      <c r="A1300" s="1324"/>
      <c r="B1300" s="127"/>
      <c r="C1300" s="712"/>
      <c r="D1300" s="1325" t="s">
        <v>1623</v>
      </c>
      <c r="E1300" s="1623" t="str">
        <f>E1299</f>
        <v>24.12</v>
      </c>
      <c r="F1300" s="1327"/>
      <c r="G1300" s="1328"/>
    </row>
    <row r="1301" ht="14.25" customHeight="1">
      <c r="A1301" s="1312"/>
      <c r="B1301" s="1313"/>
      <c r="C1301" s="1313"/>
      <c r="D1301" s="1314"/>
      <c r="E1301" s="1314"/>
      <c r="F1301" s="1314"/>
      <c r="G1301" s="1315"/>
    </row>
    <row r="1302" ht="14.25" customHeight="1">
      <c r="A1302" s="1199" t="s">
        <v>2307</v>
      </c>
      <c r="B1302" s="1200" t="s">
        <v>1661</v>
      </c>
      <c r="C1302" s="28"/>
      <c r="D1302" s="28"/>
      <c r="E1302" s="28"/>
      <c r="F1302" s="28"/>
      <c r="G1302" s="29"/>
    </row>
    <row r="1303" ht="14.25" customHeight="1">
      <c r="A1303" s="1223" t="s">
        <v>1577</v>
      </c>
      <c r="B1303" s="561"/>
      <c r="C1303" s="561"/>
      <c r="D1303" s="561"/>
      <c r="E1303" s="561"/>
      <c r="F1303" s="561"/>
      <c r="G1303" s="124"/>
    </row>
    <row r="1304" ht="14.25" customHeight="1">
      <c r="A1304" s="1617" t="s">
        <v>1627</v>
      </c>
      <c r="B1304" s="561"/>
      <c r="C1304" s="561"/>
      <c r="D1304" s="561"/>
      <c r="E1304" s="561"/>
      <c r="F1304" s="561"/>
      <c r="G1304" s="124"/>
    </row>
    <row r="1305" ht="14.25" customHeight="1">
      <c r="A1305" s="1591" t="s">
        <v>1633</v>
      </c>
      <c r="B1305" s="1419" t="s">
        <v>1657</v>
      </c>
      <c r="C1305" s="1419" t="s">
        <v>1587</v>
      </c>
      <c r="D1305" s="1419" t="s">
        <v>1658</v>
      </c>
      <c r="E1305" s="1621" t="s">
        <v>1638</v>
      </c>
      <c r="F1305" s="1622" t="s">
        <v>1580</v>
      </c>
      <c r="G1305" s="1319"/>
    </row>
    <row r="1306" ht="14.25" customHeight="1">
      <c r="A1306" s="1282" t="s">
        <v>2308</v>
      </c>
      <c r="B1306" s="1320" t="str">
        <f>((24.9+44.7)*2)</f>
        <v>139.20</v>
      </c>
      <c r="C1306" s="1257">
        <v>0.4</v>
      </c>
      <c r="D1306" s="1321" t="str">
        <f>((3.9*2*0.4)+(1.5*0.4))*2</f>
        <v>7.44</v>
      </c>
      <c r="E1306" s="1322" t="str">
        <f>(B1306*C1306)-D1306</f>
        <v>48.24</v>
      </c>
      <c r="F1306" s="1323"/>
      <c r="G1306" s="571"/>
    </row>
    <row r="1307" ht="14.25" customHeight="1">
      <c r="A1307" s="1282" t="s">
        <v>2309</v>
      </c>
      <c r="B1307" s="1320" t="str">
        <f>24.9+44.7</f>
        <v>69.60</v>
      </c>
      <c r="C1307" s="1257">
        <v>0.15</v>
      </c>
      <c r="D1307" s="1321"/>
      <c r="E1307" s="1322" t="str">
        <f>(B1307*C1307)</f>
        <v>10.44</v>
      </c>
      <c r="F1307" s="1323"/>
      <c r="G1307" s="571"/>
    </row>
    <row r="1308" ht="14.25" customHeight="1">
      <c r="A1308" s="1324"/>
      <c r="B1308" s="127"/>
      <c r="C1308" s="712"/>
      <c r="D1308" s="1325" t="s">
        <v>1623</v>
      </c>
      <c r="E1308" s="1623" t="str">
        <f>SUM(E1306:E1307)</f>
        <v>58.68</v>
      </c>
      <c r="F1308" s="1327"/>
      <c r="G1308" s="1328"/>
    </row>
    <row r="1309" ht="14.25" customHeight="1">
      <c r="A1309" s="1312"/>
      <c r="B1309" s="1313"/>
      <c r="C1309" s="1313"/>
      <c r="D1309" s="1314"/>
      <c r="E1309" s="1314"/>
      <c r="F1309" s="1314"/>
      <c r="G1309" s="1315"/>
    </row>
    <row r="1310" ht="14.25" customHeight="1">
      <c r="A1310" s="1199" t="s">
        <v>2310</v>
      </c>
      <c r="B1310" s="1200" t="s">
        <v>1665</v>
      </c>
      <c r="C1310" s="28"/>
      <c r="D1310" s="28"/>
      <c r="E1310" s="28"/>
      <c r="F1310" s="28"/>
      <c r="G1310" s="29"/>
    </row>
    <row r="1311" ht="14.25" customHeight="1">
      <c r="A1311" s="1223" t="s">
        <v>1577</v>
      </c>
      <c r="B1311" s="561"/>
      <c r="C1311" s="561"/>
      <c r="D1311" s="561"/>
      <c r="E1311" s="561"/>
      <c r="F1311" s="561"/>
      <c r="G1311" s="124"/>
    </row>
    <row r="1312" ht="14.25" customHeight="1">
      <c r="A1312" s="1617" t="s">
        <v>1627</v>
      </c>
      <c r="B1312" s="561"/>
      <c r="C1312" s="561"/>
      <c r="D1312" s="561"/>
      <c r="E1312" s="561"/>
      <c r="F1312" s="561"/>
      <c r="G1312" s="124"/>
    </row>
    <row r="1313" ht="14.25" customHeight="1">
      <c r="A1313" s="1591" t="s">
        <v>1633</v>
      </c>
      <c r="B1313" s="1419" t="s">
        <v>1657</v>
      </c>
      <c r="C1313" s="1419" t="s">
        <v>1587</v>
      </c>
      <c r="D1313" s="1419" t="s">
        <v>1658</v>
      </c>
      <c r="E1313" s="1621" t="s">
        <v>1638</v>
      </c>
      <c r="F1313" s="1622" t="s">
        <v>1580</v>
      </c>
      <c r="G1313" s="1319"/>
    </row>
    <row r="1314" ht="14.25" customHeight="1">
      <c r="A1314" s="1282" t="s">
        <v>2308</v>
      </c>
      <c r="B1314" s="1320" t="str">
        <f>((24.9+44.7)*2)</f>
        <v>139.20</v>
      </c>
      <c r="C1314" s="1257">
        <v>0.4</v>
      </c>
      <c r="D1314" s="1321" t="str">
        <f>((3.9*2*0.4)+(1.5*0.4))*2</f>
        <v>7.44</v>
      </c>
      <c r="E1314" s="1322" t="str">
        <f>(B1314*C1314)-D1314</f>
        <v>48.24</v>
      </c>
      <c r="F1314" s="1323"/>
      <c r="G1314" s="571"/>
    </row>
    <row r="1315" ht="14.25" customHeight="1">
      <c r="A1315" s="1282" t="s">
        <v>2309</v>
      </c>
      <c r="B1315" s="1320" t="str">
        <f>24.9+44.7</f>
        <v>69.60</v>
      </c>
      <c r="C1315" s="1257">
        <v>0.15</v>
      </c>
      <c r="D1315" s="1321"/>
      <c r="E1315" s="1322" t="str">
        <f>(B1315*C1315)</f>
        <v>10.44</v>
      </c>
      <c r="F1315" s="1323"/>
      <c r="G1315" s="571"/>
    </row>
    <row r="1316" ht="14.25" customHeight="1">
      <c r="A1316" s="1324"/>
      <c r="B1316" s="127"/>
      <c r="C1316" s="712"/>
      <c r="D1316" s="1325" t="s">
        <v>1623</v>
      </c>
      <c r="E1316" s="1623" t="str">
        <f>SUM(E1314:E1315)</f>
        <v>58.68</v>
      </c>
      <c r="F1316" s="1327"/>
      <c r="G1316" s="1328"/>
    </row>
    <row r="1317" ht="14.25" customHeight="1">
      <c r="A1317" s="1312"/>
      <c r="B1317" s="1313"/>
      <c r="C1317" s="1313"/>
      <c r="D1317" s="1314"/>
      <c r="E1317" s="1314"/>
      <c r="F1317" s="1314"/>
      <c r="G1317" s="1315"/>
    </row>
    <row r="1318" ht="14.25" customHeight="1">
      <c r="A1318" s="1199" t="s">
        <v>2311</v>
      </c>
      <c r="B1318" s="1200" t="s">
        <v>1667</v>
      </c>
      <c r="C1318" s="28"/>
      <c r="D1318" s="28"/>
      <c r="E1318" s="28"/>
      <c r="F1318" s="28"/>
      <c r="G1318" s="29"/>
    </row>
    <row r="1319" ht="14.25" customHeight="1">
      <c r="A1319" s="1223" t="s">
        <v>1577</v>
      </c>
      <c r="B1319" s="561"/>
      <c r="C1319" s="561"/>
      <c r="D1319" s="561"/>
      <c r="E1319" s="561"/>
      <c r="F1319" s="561"/>
      <c r="G1319" s="124"/>
    </row>
    <row r="1320" ht="14.25" customHeight="1">
      <c r="A1320" s="1617" t="s">
        <v>1627</v>
      </c>
      <c r="B1320" s="561"/>
      <c r="C1320" s="561"/>
      <c r="D1320" s="561"/>
      <c r="E1320" s="561"/>
      <c r="F1320" s="561"/>
      <c r="G1320" s="124"/>
    </row>
    <row r="1321" ht="14.25" customHeight="1">
      <c r="A1321" s="1591" t="s">
        <v>1633</v>
      </c>
      <c r="B1321" s="1419" t="s">
        <v>1657</v>
      </c>
      <c r="C1321" s="1419" t="s">
        <v>1587</v>
      </c>
      <c r="D1321" s="1419" t="s">
        <v>1658</v>
      </c>
      <c r="E1321" s="1621" t="s">
        <v>1638</v>
      </c>
      <c r="F1321" s="1622" t="s">
        <v>1580</v>
      </c>
      <c r="G1321" s="1319"/>
    </row>
    <row r="1322" ht="14.25" customHeight="1">
      <c r="A1322" s="1282" t="s">
        <v>2308</v>
      </c>
      <c r="B1322" s="1320" t="str">
        <f>((24.9+44.7)*2)</f>
        <v>139.20</v>
      </c>
      <c r="C1322" s="1257">
        <v>0.4</v>
      </c>
      <c r="D1322" s="1321" t="str">
        <f>((3.9*2*0.4)+(1.5*0.4))*2</f>
        <v>7.44</v>
      </c>
      <c r="E1322" s="1322" t="str">
        <f>(B1322*C1322)-D1322</f>
        <v>48.24</v>
      </c>
      <c r="F1322" s="1323"/>
      <c r="G1322" s="571"/>
    </row>
    <row r="1323" ht="14.25" customHeight="1">
      <c r="A1323" s="1282" t="s">
        <v>2309</v>
      </c>
      <c r="B1323" s="1320" t="str">
        <f>24.9+44.7</f>
        <v>69.60</v>
      </c>
      <c r="C1323" s="1257">
        <v>0.15</v>
      </c>
      <c r="D1323" s="1321"/>
      <c r="E1323" s="1322" t="str">
        <f>(B1323*C1323)</f>
        <v>10.44</v>
      </c>
      <c r="F1323" s="1323"/>
      <c r="G1323" s="571"/>
    </row>
    <row r="1324" ht="14.25" customHeight="1">
      <c r="A1324" s="1324"/>
      <c r="B1324" s="127"/>
      <c r="C1324" s="712"/>
      <c r="D1324" s="1325" t="s">
        <v>1623</v>
      </c>
      <c r="E1324" s="1623" t="str">
        <f>SUM(E1322:E1323)</f>
        <v>58.68</v>
      </c>
      <c r="F1324" s="1327"/>
      <c r="G1324" s="1328"/>
    </row>
    <row r="1325" ht="14.25" customHeight="1">
      <c r="A1325" s="1312"/>
      <c r="B1325" s="1313"/>
      <c r="C1325" s="1313"/>
      <c r="D1325" s="1314"/>
      <c r="E1325" s="1314"/>
      <c r="F1325" s="1314"/>
      <c r="G1325" s="1315"/>
    </row>
    <row r="1326" ht="14.25" customHeight="1">
      <c r="A1326" s="1199" t="s">
        <v>2312</v>
      </c>
      <c r="B1326" s="1200" t="s">
        <v>1669</v>
      </c>
      <c r="C1326" s="28"/>
      <c r="D1326" s="28"/>
      <c r="E1326" s="28"/>
      <c r="F1326" s="28"/>
      <c r="G1326" s="29"/>
    </row>
    <row r="1327" ht="14.25" customHeight="1">
      <c r="A1327" s="1223" t="s">
        <v>1577</v>
      </c>
      <c r="B1327" s="561"/>
      <c r="C1327" s="561"/>
      <c r="D1327" s="561"/>
      <c r="E1327" s="561"/>
      <c r="F1327" s="561"/>
      <c r="G1327" s="124"/>
    </row>
    <row r="1328" ht="14.25" customHeight="1">
      <c r="A1328" s="1617" t="s">
        <v>1627</v>
      </c>
      <c r="B1328" s="561"/>
      <c r="C1328" s="561"/>
      <c r="D1328" s="561"/>
      <c r="E1328" s="561"/>
      <c r="F1328" s="561"/>
      <c r="G1328" s="124"/>
    </row>
    <row r="1329" ht="14.25" customHeight="1">
      <c r="A1329" s="1591" t="s">
        <v>1633</v>
      </c>
      <c r="B1329" s="1419" t="s">
        <v>1657</v>
      </c>
      <c r="C1329" s="1419" t="s">
        <v>1587</v>
      </c>
      <c r="D1329" s="1419" t="s">
        <v>1658</v>
      </c>
      <c r="E1329" s="1621" t="s">
        <v>1638</v>
      </c>
      <c r="F1329" s="1622" t="s">
        <v>1580</v>
      </c>
      <c r="G1329" s="1319"/>
    </row>
    <row r="1330" ht="14.25" customHeight="1">
      <c r="A1330" s="1282" t="s">
        <v>2308</v>
      </c>
      <c r="B1330" s="1320" t="str">
        <f>((24.9+44.7)*2)</f>
        <v>139.20</v>
      </c>
      <c r="C1330" s="1257">
        <v>0.4</v>
      </c>
      <c r="D1330" s="1321" t="str">
        <f>((3.9*2*0.4)+(1.5*0.4))*2</f>
        <v>7.44</v>
      </c>
      <c r="E1330" s="1322" t="str">
        <f>(B1330*C1330)-D1330</f>
        <v>48.24</v>
      </c>
      <c r="F1330" s="1323"/>
      <c r="G1330" s="571"/>
    </row>
    <row r="1331" ht="14.25" customHeight="1">
      <c r="A1331" s="1282" t="s">
        <v>2309</v>
      </c>
      <c r="B1331" s="1320" t="str">
        <f>24.9+44.7</f>
        <v>69.60</v>
      </c>
      <c r="C1331" s="1257">
        <v>0.15</v>
      </c>
      <c r="D1331" s="1321"/>
      <c r="E1331" s="1322" t="str">
        <f>(B1331*C1331)</f>
        <v>10.44</v>
      </c>
      <c r="F1331" s="1323"/>
      <c r="G1331" s="571"/>
    </row>
    <row r="1332" ht="14.25" customHeight="1">
      <c r="A1332" s="1324"/>
      <c r="B1332" s="127"/>
      <c r="C1332" s="712"/>
      <c r="D1332" s="1325" t="s">
        <v>1623</v>
      </c>
      <c r="E1332" s="1623" t="str">
        <f>SUM(E1330:E1331)</f>
        <v>58.68</v>
      </c>
      <c r="F1332" s="1327"/>
      <c r="G1332" s="1328"/>
    </row>
    <row r="1333" ht="14.25" customHeight="1">
      <c r="A1333" s="1312"/>
      <c r="B1333" s="1313"/>
      <c r="C1333" s="1313"/>
      <c r="D1333" s="1314"/>
      <c r="E1333" s="1314"/>
      <c r="F1333" s="1314"/>
      <c r="G1333" s="1315"/>
    </row>
    <row r="1334" ht="14.25" customHeight="1">
      <c r="A1334" s="1199" t="s">
        <v>2313</v>
      </c>
      <c r="B1334" s="1200" t="s">
        <v>1670</v>
      </c>
      <c r="C1334" s="28"/>
      <c r="D1334" s="28"/>
      <c r="E1334" s="28"/>
      <c r="F1334" s="28"/>
      <c r="G1334" s="29"/>
    </row>
    <row r="1335" ht="14.25" customHeight="1">
      <c r="A1335" s="1223" t="s">
        <v>1577</v>
      </c>
      <c r="B1335" s="561"/>
      <c r="C1335" s="561"/>
      <c r="D1335" s="561"/>
      <c r="E1335" s="561"/>
      <c r="F1335" s="561"/>
      <c r="G1335" s="124"/>
    </row>
    <row r="1336" ht="14.25" customHeight="1">
      <c r="A1336" s="1617" t="s">
        <v>1627</v>
      </c>
      <c r="B1336" s="561"/>
      <c r="C1336" s="561"/>
      <c r="D1336" s="561"/>
      <c r="E1336" s="561"/>
      <c r="F1336" s="561"/>
      <c r="G1336" s="124"/>
    </row>
    <row r="1337" ht="14.25" customHeight="1">
      <c r="A1337" s="1591" t="s">
        <v>1633</v>
      </c>
      <c r="B1337" s="1419" t="s">
        <v>1657</v>
      </c>
      <c r="C1337" s="1419" t="s">
        <v>1587</v>
      </c>
      <c r="D1337" s="1419" t="s">
        <v>1658</v>
      </c>
      <c r="E1337" s="1621" t="s">
        <v>1638</v>
      </c>
      <c r="F1337" s="1622" t="s">
        <v>1580</v>
      </c>
      <c r="G1337" s="1319"/>
    </row>
    <row r="1338" ht="14.25" customHeight="1">
      <c r="A1338" s="1282" t="s">
        <v>2308</v>
      </c>
      <c r="B1338" s="1320" t="str">
        <f>((24.9+44.7)*2)</f>
        <v>139.20</v>
      </c>
      <c r="C1338" s="1257">
        <v>0.4</v>
      </c>
      <c r="D1338" s="1321" t="str">
        <f>((3.9*2*0.4)+(1.5*0.4))*2</f>
        <v>7.44</v>
      </c>
      <c r="E1338" s="1322" t="str">
        <f>(B1338*C1338)-D1338</f>
        <v>48.24</v>
      </c>
      <c r="F1338" s="1323"/>
      <c r="G1338" s="571"/>
    </row>
    <row r="1339" ht="14.25" customHeight="1">
      <c r="A1339" s="1282" t="s">
        <v>2309</v>
      </c>
      <c r="B1339" s="1320" t="str">
        <f>24.9+44.7</f>
        <v>69.60</v>
      </c>
      <c r="C1339" s="1257">
        <v>0.15</v>
      </c>
      <c r="D1339" s="1321"/>
      <c r="E1339" s="1322" t="str">
        <f>(B1339*C1339)</f>
        <v>10.44</v>
      </c>
      <c r="F1339" s="1323"/>
      <c r="G1339" s="571"/>
    </row>
    <row r="1340" ht="14.25" customHeight="1">
      <c r="A1340" s="1324"/>
      <c r="B1340" s="127"/>
      <c r="C1340" s="712"/>
      <c r="D1340" s="1325" t="s">
        <v>1623</v>
      </c>
      <c r="E1340" s="1623" t="str">
        <f>SUM(E1338:E1339)</f>
        <v>58.68</v>
      </c>
      <c r="F1340" s="1327"/>
      <c r="G1340" s="1328"/>
    </row>
    <row r="1341" ht="14.25" customHeight="1">
      <c r="A1341" s="1312"/>
      <c r="B1341" s="1313"/>
      <c r="C1341" s="1313"/>
      <c r="D1341" s="1314"/>
      <c r="E1341" s="1314"/>
      <c r="F1341" s="1314"/>
      <c r="G1341" s="1315"/>
    </row>
    <row r="1342" ht="14.25" customHeight="1">
      <c r="A1342" s="1199" t="s">
        <v>2314</v>
      </c>
      <c r="B1342" s="1200" t="s">
        <v>1672</v>
      </c>
      <c r="C1342" s="28"/>
      <c r="D1342" s="28"/>
      <c r="E1342" s="28"/>
      <c r="F1342" s="28"/>
      <c r="G1342" s="29"/>
    </row>
    <row r="1343" ht="14.25" customHeight="1">
      <c r="A1343" s="1223" t="s">
        <v>1577</v>
      </c>
      <c r="B1343" s="561"/>
      <c r="C1343" s="561"/>
      <c r="D1343" s="561"/>
      <c r="E1343" s="561"/>
      <c r="F1343" s="561"/>
      <c r="G1343" s="124"/>
    </row>
    <row r="1344" ht="14.25" customHeight="1">
      <c r="A1344" s="1617" t="s">
        <v>1627</v>
      </c>
      <c r="B1344" s="561"/>
      <c r="C1344" s="561"/>
      <c r="D1344" s="561"/>
      <c r="E1344" s="561"/>
      <c r="F1344" s="561"/>
      <c r="G1344" s="124"/>
    </row>
    <row r="1345" ht="14.25" customHeight="1">
      <c r="A1345" s="1591" t="s">
        <v>1633</v>
      </c>
      <c r="B1345" s="1419" t="s">
        <v>1657</v>
      </c>
      <c r="C1345" s="1419" t="s">
        <v>1587</v>
      </c>
      <c r="D1345" s="1419" t="s">
        <v>1658</v>
      </c>
      <c r="E1345" s="1621" t="s">
        <v>1638</v>
      </c>
      <c r="F1345" s="1622" t="s">
        <v>1580</v>
      </c>
      <c r="G1345" s="1319"/>
    </row>
    <row r="1346" ht="14.25" customHeight="1">
      <c r="A1346" s="1282" t="s">
        <v>2306</v>
      </c>
      <c r="B1346" s="1320" t="str">
        <f>24.9+44.7</f>
        <v>69.60</v>
      </c>
      <c r="C1346" s="1257">
        <v>2.03</v>
      </c>
      <c r="D1346" s="1321" t="str">
        <f>(9.35*2)+3.59</f>
        <v>22.29</v>
      </c>
      <c r="E1346" s="1623" t="str">
        <f>((69.6*2.03))-D1346</f>
        <v>119.00</v>
      </c>
      <c r="F1346" s="1323"/>
      <c r="G1346" s="571"/>
    </row>
    <row r="1347" ht="14.25" customHeight="1">
      <c r="A1347" s="1324"/>
      <c r="B1347" s="127"/>
      <c r="C1347" s="712"/>
      <c r="D1347" s="1325" t="s">
        <v>1623</v>
      </c>
      <c r="E1347" s="1623" t="str">
        <f>E1346</f>
        <v>119.00</v>
      </c>
      <c r="F1347" s="1624"/>
      <c r="G1347" s="1625"/>
    </row>
    <row r="1348" ht="14.25" customHeight="1">
      <c r="A1348" s="1312"/>
      <c r="B1348" s="1313"/>
      <c r="C1348" s="1313"/>
      <c r="D1348" s="1314"/>
      <c r="E1348" s="1314"/>
      <c r="F1348" s="1314"/>
      <c r="G1348" s="1315"/>
    </row>
    <row r="1349" ht="14.25" customHeight="1">
      <c r="A1349" s="1199" t="s">
        <v>2315</v>
      </c>
      <c r="B1349" s="1200" t="s">
        <v>1674</v>
      </c>
      <c r="C1349" s="28"/>
      <c r="D1349" s="28"/>
      <c r="E1349" s="28"/>
      <c r="F1349" s="28"/>
      <c r="G1349" s="29"/>
    </row>
    <row r="1350" ht="14.25" customHeight="1">
      <c r="A1350" s="1626" t="s">
        <v>1577</v>
      </c>
      <c r="B1350" s="107"/>
      <c r="C1350" s="107"/>
      <c r="D1350" s="107"/>
      <c r="E1350" s="107"/>
      <c r="F1350" s="107"/>
      <c r="G1350" s="781"/>
    </row>
    <row r="1351" ht="14.25" customHeight="1">
      <c r="A1351" s="1617" t="s">
        <v>1627</v>
      </c>
      <c r="B1351" s="561"/>
      <c r="C1351" s="561"/>
      <c r="D1351" s="561"/>
      <c r="E1351" s="561"/>
      <c r="F1351" s="561"/>
      <c r="G1351" s="124"/>
    </row>
    <row r="1352" ht="14.25" customHeight="1">
      <c r="A1352" s="1291" t="s">
        <v>1593</v>
      </c>
      <c r="B1352" s="41"/>
      <c r="C1352" s="1292" t="s">
        <v>1628</v>
      </c>
      <c r="D1352" s="1292" t="s">
        <v>1622</v>
      </c>
      <c r="E1352" s="1293" t="s">
        <v>1580</v>
      </c>
      <c r="F1352" s="561"/>
      <c r="G1352" s="124"/>
    </row>
    <row r="1353" ht="14.25" customHeight="1">
      <c r="A1353" s="1294" t="s">
        <v>1675</v>
      </c>
      <c r="B1353" s="41"/>
      <c r="C1353" s="1296">
        <v>334.18</v>
      </c>
      <c r="D1353" s="1331">
        <v>334.18</v>
      </c>
      <c r="E1353" s="1297"/>
      <c r="F1353" s="854"/>
      <c r="G1353" s="855"/>
    </row>
    <row r="1354" ht="14.25" customHeight="1">
      <c r="A1354" s="1324" t="s">
        <v>1623</v>
      </c>
      <c r="B1354" s="127"/>
      <c r="C1354" s="712"/>
      <c r="D1354" s="1618" t="str">
        <f>SUM(D1353)</f>
        <v>334.18</v>
      </c>
      <c r="E1354" s="1574"/>
      <c r="F1354" s="127"/>
      <c r="G1354" s="128"/>
    </row>
    <row r="1355" ht="14.25" customHeight="1">
      <c r="A1355" s="1312"/>
      <c r="B1355" s="1313"/>
      <c r="C1355" s="1313"/>
      <c r="D1355" s="1314"/>
      <c r="E1355" s="1314"/>
      <c r="F1355" s="1314"/>
      <c r="G1355" s="1315"/>
    </row>
    <row r="1356" ht="14.25" customHeight="1">
      <c r="A1356" s="1199" t="s">
        <v>2316</v>
      </c>
      <c r="B1356" s="1200" t="s">
        <v>1677</v>
      </c>
      <c r="C1356" s="28"/>
      <c r="D1356" s="28"/>
      <c r="E1356" s="28"/>
      <c r="F1356" s="28"/>
      <c r="G1356" s="29"/>
    </row>
    <row r="1357" ht="14.25" customHeight="1">
      <c r="A1357" s="1207" t="s">
        <v>1577</v>
      </c>
      <c r="B1357" s="107"/>
      <c r="C1357" s="107"/>
      <c r="D1357" s="107"/>
      <c r="E1357" s="107"/>
      <c r="F1357" s="107"/>
      <c r="G1357" s="781"/>
    </row>
    <row r="1358" ht="14.25" customHeight="1">
      <c r="A1358" s="1617" t="s">
        <v>1627</v>
      </c>
      <c r="B1358" s="561"/>
      <c r="C1358" s="561"/>
      <c r="D1358" s="561"/>
      <c r="E1358" s="561"/>
      <c r="F1358" s="561"/>
      <c r="G1358" s="124"/>
    </row>
    <row r="1359" ht="14.25" customHeight="1">
      <c r="A1359" s="1291" t="s">
        <v>1593</v>
      </c>
      <c r="B1359" s="41"/>
      <c r="C1359" s="1292" t="s">
        <v>1678</v>
      </c>
      <c r="D1359" s="1292" t="s">
        <v>1622</v>
      </c>
      <c r="E1359" s="1293" t="s">
        <v>1580</v>
      </c>
      <c r="F1359" s="561"/>
      <c r="G1359" s="124"/>
    </row>
    <row r="1360" ht="14.25" customHeight="1">
      <c r="A1360" s="1294" t="s">
        <v>1675</v>
      </c>
      <c r="B1360" s="41"/>
      <c r="C1360" s="1296">
        <v>2.89</v>
      </c>
      <c r="D1360" s="1331" t="str">
        <f>2.89*2</f>
        <v>5.78</v>
      </c>
      <c r="E1360" s="1297" t="s">
        <v>1679</v>
      </c>
      <c r="F1360" s="854"/>
      <c r="G1360" s="855"/>
    </row>
    <row r="1361" ht="14.25" customHeight="1">
      <c r="A1361" s="1324" t="s">
        <v>1623</v>
      </c>
      <c r="B1361" s="127"/>
      <c r="C1361" s="712"/>
      <c r="D1361" s="1618" t="str">
        <f>SUM(D1360)</f>
        <v>5.78</v>
      </c>
      <c r="E1361" s="1574"/>
      <c r="F1361" s="127"/>
      <c r="G1361" s="128"/>
    </row>
    <row r="1362" ht="14.25" customHeight="1">
      <c r="A1362" s="1183"/>
      <c r="B1362" s="1184"/>
      <c r="C1362" s="1184"/>
      <c r="D1362" s="1184"/>
      <c r="E1362" s="1184"/>
      <c r="F1362" s="1184"/>
      <c r="G1362" s="1185"/>
    </row>
    <row r="1363" ht="14.25" customHeight="1">
      <c r="A1363" s="1199" t="s">
        <v>2317</v>
      </c>
      <c r="B1363" s="1200" t="s">
        <v>1681</v>
      </c>
      <c r="C1363" s="28"/>
      <c r="D1363" s="28"/>
      <c r="E1363" s="28"/>
      <c r="F1363" s="28"/>
      <c r="G1363" s="29"/>
    </row>
    <row r="1364" ht="14.25" customHeight="1">
      <c r="A1364" s="1207" t="s">
        <v>1577</v>
      </c>
      <c r="B1364" s="107"/>
      <c r="C1364" s="107"/>
      <c r="D1364" s="107"/>
      <c r="E1364" s="107"/>
      <c r="F1364" s="107"/>
      <c r="G1364" s="781"/>
    </row>
    <row r="1365" ht="14.25" customHeight="1">
      <c r="A1365" s="1617" t="s">
        <v>1627</v>
      </c>
      <c r="B1365" s="561"/>
      <c r="C1365" s="561"/>
      <c r="D1365" s="561"/>
      <c r="E1365" s="561"/>
      <c r="F1365" s="561"/>
      <c r="G1365" s="124"/>
    </row>
    <row r="1366" ht="14.25" customHeight="1">
      <c r="A1366" s="1291" t="s">
        <v>1593</v>
      </c>
      <c r="B1366" s="41"/>
      <c r="C1366" s="1292" t="s">
        <v>1682</v>
      </c>
      <c r="D1366" s="1292" t="s">
        <v>1634</v>
      </c>
      <c r="E1366" s="1293" t="s">
        <v>1580</v>
      </c>
      <c r="F1366" s="561"/>
      <c r="G1366" s="124"/>
    </row>
    <row r="1367" ht="14.25" customHeight="1">
      <c r="A1367" s="1294" t="s">
        <v>2318</v>
      </c>
      <c r="B1367" s="41"/>
      <c r="C1367" s="1296" t="str">
        <f>7.7+(4.9*5)+20.8+(5*5)+(5.9*3)+((0.31+1.2+(1.41*6)+0.7))*2</f>
        <v>117.04</v>
      </c>
      <c r="D1367" s="1331" t="str">
        <f>C1367</f>
        <v>117.04</v>
      </c>
      <c r="E1367" s="1297"/>
      <c r="F1367" s="854"/>
      <c r="G1367" s="855"/>
    </row>
    <row r="1368" ht="14.25" customHeight="1">
      <c r="A1368" s="1324" t="s">
        <v>1623</v>
      </c>
      <c r="B1368" s="127"/>
      <c r="C1368" s="712"/>
      <c r="D1368" s="1618" t="str">
        <f>SUM(D1367)</f>
        <v>117.04</v>
      </c>
      <c r="E1368" s="1574"/>
      <c r="F1368" s="127"/>
      <c r="G1368" s="128"/>
    </row>
    <row r="1369" ht="14.25" customHeight="1">
      <c r="A1369" s="1183"/>
      <c r="B1369" s="1184"/>
      <c r="C1369" s="1184"/>
      <c r="D1369" s="1184"/>
      <c r="E1369" s="1184"/>
      <c r="F1369" s="1184"/>
      <c r="G1369" s="1185"/>
    </row>
    <row r="1370" ht="14.25" customHeight="1">
      <c r="A1370" s="1199" t="s">
        <v>2319</v>
      </c>
      <c r="B1370" s="1200" t="s">
        <v>1685</v>
      </c>
      <c r="C1370" s="28"/>
      <c r="D1370" s="28"/>
      <c r="E1370" s="28"/>
      <c r="F1370" s="28"/>
      <c r="G1370" s="29"/>
    </row>
    <row r="1371" ht="14.25" customHeight="1">
      <c r="A1371" s="1207" t="s">
        <v>1577</v>
      </c>
      <c r="B1371" s="107"/>
      <c r="C1371" s="107"/>
      <c r="D1371" s="107"/>
      <c r="E1371" s="107"/>
      <c r="F1371" s="107"/>
      <c r="G1371" s="781"/>
    </row>
    <row r="1372" ht="14.25" customHeight="1">
      <c r="A1372" s="1208" t="s">
        <v>1687</v>
      </c>
      <c r="B1372" s="561"/>
      <c r="C1372" s="561"/>
      <c r="D1372" s="561"/>
      <c r="E1372" s="561"/>
      <c r="F1372" s="561"/>
      <c r="G1372" s="124"/>
    </row>
    <row r="1373" ht="14.25" customHeight="1">
      <c r="A1373" s="1306" t="s">
        <v>1593</v>
      </c>
      <c r="B1373" s="1292" t="s">
        <v>1688</v>
      </c>
      <c r="C1373" s="1292" t="s">
        <v>1678</v>
      </c>
      <c r="D1373" s="1292" t="s">
        <v>1689</v>
      </c>
      <c r="E1373" s="1293" t="s">
        <v>1580</v>
      </c>
      <c r="F1373" s="561"/>
      <c r="G1373" s="124"/>
    </row>
    <row r="1374" ht="14.25" customHeight="1">
      <c r="A1374" s="1282" t="s">
        <v>1690</v>
      </c>
      <c r="B1374" s="1332">
        <v>248.0</v>
      </c>
      <c r="C1374" s="1230" t="str">
        <f t="shared" ref="C1374:C1375" si="121">0.25*0.25</f>
        <v>0.06</v>
      </c>
      <c r="D1374" s="1283" t="str">
        <f t="shared" ref="D1374:D1375" si="122">ROUNDUP(C1374*B1374,2)</f>
        <v>15.50</v>
      </c>
      <c r="E1374" s="1307" t="s">
        <v>1691</v>
      </c>
      <c r="F1374" s="854"/>
      <c r="G1374" s="855"/>
    </row>
    <row r="1375" ht="14.25" customHeight="1">
      <c r="A1375" s="1282" t="s">
        <v>1692</v>
      </c>
      <c r="B1375" s="1332">
        <v>63.0</v>
      </c>
      <c r="C1375" s="1230" t="str">
        <f t="shared" si="121"/>
        <v>0.06</v>
      </c>
      <c r="D1375" s="1283" t="str">
        <f t="shared" si="122"/>
        <v>3.94</v>
      </c>
      <c r="E1375" s="38"/>
      <c r="F1375" s="1259"/>
      <c r="G1375" s="1260"/>
    </row>
    <row r="1376" ht="14.25" customHeight="1">
      <c r="A1376" s="1627" t="s">
        <v>1623</v>
      </c>
      <c r="B1376" s="1628" t="str">
        <f>ROUNDUP(B1375+B1374,2)</f>
        <v>311</v>
      </c>
      <c r="C1376" s="1629"/>
      <c r="D1376" s="1618" t="str">
        <f>ROUNDUP(D1375+D1374,2)</f>
        <v>19.44</v>
      </c>
      <c r="E1376" s="1336"/>
      <c r="F1376" s="127"/>
      <c r="G1376" s="128"/>
    </row>
    <row r="1377" ht="14.25" customHeight="1">
      <c r="A1377" s="1183"/>
      <c r="B1377" s="1184"/>
      <c r="C1377" s="1184"/>
      <c r="D1377" s="1184"/>
      <c r="E1377" s="1184"/>
      <c r="F1377" s="1184"/>
      <c r="G1377" s="1185"/>
    </row>
    <row r="1378" ht="14.25" customHeight="1">
      <c r="A1378" s="1199" t="s">
        <v>2320</v>
      </c>
      <c r="B1378" s="1200" t="s">
        <v>2321</v>
      </c>
      <c r="C1378" s="28"/>
      <c r="D1378" s="28"/>
      <c r="E1378" s="28"/>
      <c r="F1378" s="28"/>
      <c r="G1378" s="29"/>
    </row>
    <row r="1379" ht="14.25" customHeight="1">
      <c r="A1379" s="1223" t="s">
        <v>1577</v>
      </c>
      <c r="B1379" s="561"/>
      <c r="C1379" s="561"/>
      <c r="D1379" s="561"/>
      <c r="E1379" s="561"/>
      <c r="F1379" s="561"/>
      <c r="G1379" s="124"/>
    </row>
    <row r="1380" ht="14.25" customHeight="1">
      <c r="A1380" s="1617" t="s">
        <v>1627</v>
      </c>
      <c r="B1380" s="561"/>
      <c r="C1380" s="561"/>
      <c r="D1380" s="561"/>
      <c r="E1380" s="561"/>
      <c r="F1380" s="561"/>
      <c r="G1380" s="124"/>
    </row>
    <row r="1381" ht="14.25" customHeight="1">
      <c r="A1381" s="1591" t="s">
        <v>1633</v>
      </c>
      <c r="B1381" s="1419" t="s">
        <v>1657</v>
      </c>
      <c r="C1381" s="1419" t="s">
        <v>1587</v>
      </c>
      <c r="D1381" s="1419" t="s">
        <v>1658</v>
      </c>
      <c r="E1381" s="1621" t="s">
        <v>1638</v>
      </c>
      <c r="F1381" s="1622" t="s">
        <v>1580</v>
      </c>
      <c r="G1381" s="1319"/>
    </row>
    <row r="1382" ht="14.25" customHeight="1">
      <c r="A1382" s="1282" t="s">
        <v>2322</v>
      </c>
      <c r="B1382" s="1320" t="str">
        <f>73.76+38.25</f>
        <v>112.01</v>
      </c>
      <c r="C1382" s="1257">
        <v>2.5</v>
      </c>
      <c r="D1382" s="1321"/>
      <c r="E1382" s="1322" t="str">
        <f>B1382*C1382</f>
        <v>280.03</v>
      </c>
      <c r="F1382" s="1323"/>
      <c r="G1382" s="571"/>
    </row>
    <row r="1383" ht="14.25" customHeight="1">
      <c r="A1383" s="1324"/>
      <c r="B1383" s="127"/>
      <c r="C1383" s="712"/>
      <c r="D1383" s="1325" t="s">
        <v>1623</v>
      </c>
      <c r="E1383" s="1623" t="str">
        <f>E1382</f>
        <v>280.03</v>
      </c>
      <c r="F1383" s="1624"/>
      <c r="G1383" s="1625"/>
    </row>
    <row r="1384" ht="14.25" customHeight="1">
      <c r="A1384" s="1183"/>
      <c r="B1384" s="1184"/>
      <c r="C1384" s="1184"/>
      <c r="D1384" s="1184"/>
      <c r="E1384" s="1184"/>
      <c r="F1384" s="1184"/>
      <c r="G1384" s="1185"/>
    </row>
    <row r="1385" ht="14.25" customHeight="1">
      <c r="A1385" s="1199" t="s">
        <v>2323</v>
      </c>
      <c r="B1385" s="1200" t="s">
        <v>2324</v>
      </c>
      <c r="C1385" s="28"/>
      <c r="D1385" s="28"/>
      <c r="E1385" s="28"/>
      <c r="F1385" s="28"/>
      <c r="G1385" s="29"/>
    </row>
    <row r="1386" ht="14.25" customHeight="1">
      <c r="A1386" s="1223" t="s">
        <v>1577</v>
      </c>
      <c r="B1386" s="561"/>
      <c r="C1386" s="561"/>
      <c r="D1386" s="561"/>
      <c r="E1386" s="561"/>
      <c r="F1386" s="561"/>
      <c r="G1386" s="124"/>
    </row>
    <row r="1387" ht="14.25" customHeight="1">
      <c r="A1387" s="1617" t="s">
        <v>1627</v>
      </c>
      <c r="B1387" s="561"/>
      <c r="C1387" s="561"/>
      <c r="D1387" s="561"/>
      <c r="E1387" s="561"/>
      <c r="F1387" s="561"/>
      <c r="G1387" s="124"/>
    </row>
    <row r="1388" ht="14.25" customHeight="1">
      <c r="A1388" s="1591" t="s">
        <v>1633</v>
      </c>
      <c r="B1388" s="1419" t="s">
        <v>1657</v>
      </c>
      <c r="C1388" s="1419" t="s">
        <v>1587</v>
      </c>
      <c r="D1388" s="1419" t="s">
        <v>1658</v>
      </c>
      <c r="E1388" s="1621" t="s">
        <v>1638</v>
      </c>
      <c r="F1388" s="1622" t="s">
        <v>1580</v>
      </c>
      <c r="G1388" s="1319"/>
    </row>
    <row r="1389" ht="14.25" customHeight="1">
      <c r="A1389" s="1282" t="s">
        <v>2325</v>
      </c>
      <c r="B1389" s="1320" t="str">
        <f>((73.76+38.25)*2)</f>
        <v>224.02</v>
      </c>
      <c r="C1389" s="1257">
        <v>2.5</v>
      </c>
      <c r="D1389" s="1321"/>
      <c r="E1389" s="1322" t="str">
        <f t="shared" ref="E1389:E1390" si="123">B1389*C1389</f>
        <v>560.05</v>
      </c>
      <c r="F1389" s="1323"/>
      <c r="G1389" s="571"/>
    </row>
    <row r="1390" ht="14.25" customHeight="1">
      <c r="A1390" s="1282" t="s">
        <v>2326</v>
      </c>
      <c r="B1390" s="1320" t="str">
        <f>73.76+38.25</f>
        <v>112.01</v>
      </c>
      <c r="C1390" s="1257">
        <v>0.15</v>
      </c>
      <c r="D1390" s="1321"/>
      <c r="E1390" s="1322" t="str">
        <f t="shared" si="123"/>
        <v>16.80</v>
      </c>
      <c r="F1390" s="1280"/>
      <c r="G1390" s="1630"/>
    </row>
    <row r="1391" ht="14.25" customHeight="1">
      <c r="A1391" s="1324"/>
      <c r="B1391" s="127"/>
      <c r="C1391" s="712"/>
      <c r="D1391" s="1325" t="s">
        <v>1623</v>
      </c>
      <c r="E1391" s="1623" t="str">
        <f>SUM(E1389:E1390)</f>
        <v>576.85</v>
      </c>
      <c r="F1391" s="1327"/>
      <c r="G1391" s="1328"/>
    </row>
    <row r="1392" ht="14.25" customHeight="1">
      <c r="A1392" s="1183"/>
      <c r="B1392" s="1184"/>
      <c r="C1392" s="1184"/>
      <c r="D1392" s="1184"/>
      <c r="E1392" s="1184"/>
      <c r="F1392" s="1184"/>
      <c r="G1392" s="1185"/>
    </row>
    <row r="1393" ht="14.25" customHeight="1">
      <c r="A1393" s="1199" t="s">
        <v>2327</v>
      </c>
      <c r="B1393" s="1200" t="s">
        <v>2328</v>
      </c>
      <c r="C1393" s="28"/>
      <c r="D1393" s="28"/>
      <c r="E1393" s="28"/>
      <c r="F1393" s="28"/>
      <c r="G1393" s="29"/>
    </row>
    <row r="1394" ht="14.25" customHeight="1">
      <c r="A1394" s="1223" t="s">
        <v>1577</v>
      </c>
      <c r="B1394" s="561"/>
      <c r="C1394" s="561"/>
      <c r="D1394" s="561"/>
      <c r="E1394" s="561"/>
      <c r="F1394" s="561"/>
      <c r="G1394" s="124"/>
    </row>
    <row r="1395" ht="14.25" customHeight="1">
      <c r="A1395" s="1617" t="s">
        <v>1627</v>
      </c>
      <c r="B1395" s="561"/>
      <c r="C1395" s="561"/>
      <c r="D1395" s="561"/>
      <c r="E1395" s="561"/>
      <c r="F1395" s="561"/>
      <c r="G1395" s="124"/>
    </row>
    <row r="1396" ht="14.25" customHeight="1">
      <c r="A1396" s="1591" t="s">
        <v>1633</v>
      </c>
      <c r="B1396" s="1419" t="s">
        <v>1657</v>
      </c>
      <c r="C1396" s="1419" t="s">
        <v>1587</v>
      </c>
      <c r="D1396" s="1419" t="s">
        <v>1658</v>
      </c>
      <c r="E1396" s="1621" t="s">
        <v>1638</v>
      </c>
      <c r="F1396" s="1622" t="s">
        <v>1580</v>
      </c>
      <c r="G1396" s="1319"/>
    </row>
    <row r="1397" ht="14.25" customHeight="1">
      <c r="A1397" s="1282" t="s">
        <v>2325</v>
      </c>
      <c r="B1397" s="1320" t="str">
        <f>((73.76+38.25)*2)</f>
        <v>224.02</v>
      </c>
      <c r="C1397" s="1257">
        <v>2.5</v>
      </c>
      <c r="D1397" s="1321"/>
      <c r="E1397" s="1322" t="str">
        <f t="shared" ref="E1397:E1398" si="124">B1397*C1397</f>
        <v>560.05</v>
      </c>
      <c r="F1397" s="1323"/>
      <c r="G1397" s="571"/>
    </row>
    <row r="1398" ht="14.25" customHeight="1">
      <c r="A1398" s="1282" t="s">
        <v>2326</v>
      </c>
      <c r="B1398" s="1320" t="str">
        <f>73.76+38.25</f>
        <v>112.01</v>
      </c>
      <c r="C1398" s="1257">
        <v>0.15</v>
      </c>
      <c r="D1398" s="1321"/>
      <c r="E1398" s="1322" t="str">
        <f t="shared" si="124"/>
        <v>16.80</v>
      </c>
      <c r="F1398" s="1280"/>
      <c r="G1398" s="1630"/>
    </row>
    <row r="1399" ht="14.25" customHeight="1">
      <c r="A1399" s="1324"/>
      <c r="B1399" s="127"/>
      <c r="C1399" s="712"/>
      <c r="D1399" s="1325" t="s">
        <v>1623</v>
      </c>
      <c r="E1399" s="1623" t="str">
        <f>SUM(E1397:E1398)</f>
        <v>576.85</v>
      </c>
      <c r="F1399" s="1327"/>
      <c r="G1399" s="1328"/>
    </row>
    <row r="1400" ht="14.25" customHeight="1">
      <c r="A1400" s="1183"/>
      <c r="B1400" s="1184"/>
      <c r="C1400" s="1184"/>
      <c r="D1400" s="1184"/>
      <c r="E1400" s="1184"/>
      <c r="F1400" s="1184"/>
      <c r="G1400" s="1185"/>
    </row>
    <row r="1401" ht="14.25" customHeight="1">
      <c r="A1401" s="1199" t="s">
        <v>2329</v>
      </c>
      <c r="B1401" s="1200" t="s">
        <v>2330</v>
      </c>
      <c r="C1401" s="28"/>
      <c r="D1401" s="28"/>
      <c r="E1401" s="28"/>
      <c r="F1401" s="28"/>
      <c r="G1401" s="29"/>
    </row>
    <row r="1402" ht="14.25" customHeight="1">
      <c r="A1402" s="1223" t="s">
        <v>1577</v>
      </c>
      <c r="B1402" s="561"/>
      <c r="C1402" s="561"/>
      <c r="D1402" s="561"/>
      <c r="E1402" s="561"/>
      <c r="F1402" s="561"/>
      <c r="G1402" s="124"/>
    </row>
    <row r="1403" ht="14.25" customHeight="1">
      <c r="A1403" s="1617" t="s">
        <v>1627</v>
      </c>
      <c r="B1403" s="561"/>
      <c r="C1403" s="561"/>
      <c r="D1403" s="561"/>
      <c r="E1403" s="561"/>
      <c r="F1403" s="561"/>
      <c r="G1403" s="124"/>
    </row>
    <row r="1404" ht="14.25" customHeight="1">
      <c r="A1404" s="1591" t="s">
        <v>1633</v>
      </c>
      <c r="B1404" s="1419" t="s">
        <v>1657</v>
      </c>
      <c r="C1404" s="1419" t="s">
        <v>1587</v>
      </c>
      <c r="D1404" s="1419" t="s">
        <v>1658</v>
      </c>
      <c r="E1404" s="1621" t="s">
        <v>1638</v>
      </c>
      <c r="F1404" s="1622" t="s">
        <v>1580</v>
      </c>
      <c r="G1404" s="1319"/>
    </row>
    <row r="1405" ht="14.25" customHeight="1">
      <c r="A1405" s="1282" t="s">
        <v>2325</v>
      </c>
      <c r="B1405" s="1320" t="str">
        <f>((73.76+38.25)*2)</f>
        <v>224.02</v>
      </c>
      <c r="C1405" s="1257">
        <v>2.5</v>
      </c>
      <c r="D1405" s="1321"/>
      <c r="E1405" s="1322" t="str">
        <f t="shared" ref="E1405:E1406" si="125">B1405*C1405</f>
        <v>560.05</v>
      </c>
      <c r="F1405" s="1323"/>
      <c r="G1405" s="571"/>
    </row>
    <row r="1406" ht="14.25" customHeight="1">
      <c r="A1406" s="1282" t="s">
        <v>2326</v>
      </c>
      <c r="B1406" s="1320" t="str">
        <f>73.76+38.25</f>
        <v>112.01</v>
      </c>
      <c r="C1406" s="1257">
        <v>0.15</v>
      </c>
      <c r="D1406" s="1321"/>
      <c r="E1406" s="1322" t="str">
        <f t="shared" si="125"/>
        <v>16.80</v>
      </c>
      <c r="F1406" s="1280"/>
      <c r="G1406" s="1630"/>
    </row>
    <row r="1407" ht="14.25" customHeight="1">
      <c r="A1407" s="1324"/>
      <c r="B1407" s="127"/>
      <c r="C1407" s="712"/>
      <c r="D1407" s="1325" t="s">
        <v>1623</v>
      </c>
      <c r="E1407" s="1623" t="str">
        <f>SUM(E1405:E1406)</f>
        <v>576.85</v>
      </c>
      <c r="F1407" s="1327"/>
      <c r="G1407" s="1328"/>
    </row>
    <row r="1408" ht="14.25" customHeight="1">
      <c r="A1408" s="1183"/>
      <c r="B1408" s="1184"/>
      <c r="C1408" s="1184"/>
      <c r="D1408" s="1184"/>
      <c r="E1408" s="1184"/>
      <c r="F1408" s="1184"/>
      <c r="G1408" s="1185"/>
    </row>
    <row r="1409" ht="14.25" customHeight="1">
      <c r="A1409" s="1199" t="s">
        <v>2331</v>
      </c>
      <c r="B1409" s="1200" t="s">
        <v>2332</v>
      </c>
      <c r="C1409" s="28"/>
      <c r="D1409" s="28"/>
      <c r="E1409" s="28"/>
      <c r="F1409" s="28"/>
      <c r="G1409" s="29"/>
    </row>
    <row r="1410" ht="14.25" customHeight="1">
      <c r="A1410" s="1223" t="s">
        <v>1577</v>
      </c>
      <c r="B1410" s="561"/>
      <c r="C1410" s="561"/>
      <c r="D1410" s="561"/>
      <c r="E1410" s="561"/>
      <c r="F1410" s="561"/>
      <c r="G1410" s="124"/>
    </row>
    <row r="1411" ht="14.25" customHeight="1">
      <c r="A1411" s="1617" t="s">
        <v>1627</v>
      </c>
      <c r="B1411" s="561"/>
      <c r="C1411" s="561"/>
      <c r="D1411" s="561"/>
      <c r="E1411" s="561"/>
      <c r="F1411" s="561"/>
      <c r="G1411" s="124"/>
    </row>
    <row r="1412" ht="14.25" customHeight="1">
      <c r="A1412" s="1591" t="s">
        <v>1633</v>
      </c>
      <c r="B1412" s="1419" t="s">
        <v>1657</v>
      </c>
      <c r="C1412" s="1419" t="s">
        <v>1587</v>
      </c>
      <c r="D1412" s="1419" t="s">
        <v>1658</v>
      </c>
      <c r="E1412" s="1621" t="s">
        <v>1638</v>
      </c>
      <c r="F1412" s="1622" t="s">
        <v>1580</v>
      </c>
      <c r="G1412" s="1319"/>
    </row>
    <row r="1413" ht="14.25" customHeight="1">
      <c r="A1413" s="1282" t="s">
        <v>2325</v>
      </c>
      <c r="B1413" s="1320" t="str">
        <f>((73.76+38.25)*2)</f>
        <v>224.02</v>
      </c>
      <c r="C1413" s="1257">
        <v>2.5</v>
      </c>
      <c r="D1413" s="1321"/>
      <c r="E1413" s="1322" t="str">
        <f t="shared" ref="E1413:E1414" si="126">B1413*C1413</f>
        <v>560.05</v>
      </c>
      <c r="F1413" s="1323"/>
      <c r="G1413" s="571"/>
    </row>
    <row r="1414" ht="14.25" customHeight="1">
      <c r="A1414" s="1282" t="s">
        <v>2326</v>
      </c>
      <c r="B1414" s="1320" t="str">
        <f>73.76+38.25</f>
        <v>112.01</v>
      </c>
      <c r="C1414" s="1257">
        <v>0.15</v>
      </c>
      <c r="D1414" s="1321"/>
      <c r="E1414" s="1322" t="str">
        <f t="shared" si="126"/>
        <v>16.80</v>
      </c>
      <c r="F1414" s="1280"/>
      <c r="G1414" s="1630"/>
    </row>
    <row r="1415" ht="14.25" customHeight="1">
      <c r="A1415" s="1324"/>
      <c r="B1415" s="127"/>
      <c r="C1415" s="712"/>
      <c r="D1415" s="1325" t="s">
        <v>1623</v>
      </c>
      <c r="E1415" s="1623" t="str">
        <f>SUM(E1413:E1414)</f>
        <v>576.85</v>
      </c>
      <c r="F1415" s="1327"/>
      <c r="G1415" s="1328"/>
    </row>
    <row r="1416" ht="14.25" customHeight="1">
      <c r="A1416" s="1183"/>
      <c r="B1416" s="1184"/>
      <c r="C1416" s="1184"/>
      <c r="D1416" s="1184"/>
      <c r="E1416" s="1184"/>
      <c r="F1416" s="1184"/>
      <c r="G1416" s="1185"/>
    </row>
    <row r="1417" ht="14.25" customHeight="1">
      <c r="A1417" s="1199" t="s">
        <v>2333</v>
      </c>
      <c r="B1417" s="1200" t="s">
        <v>2334</v>
      </c>
      <c r="C1417" s="28"/>
      <c r="D1417" s="28"/>
      <c r="E1417" s="28"/>
      <c r="F1417" s="28"/>
      <c r="G1417" s="29"/>
    </row>
    <row r="1418" ht="14.25" customHeight="1">
      <c r="A1418" s="1223" t="s">
        <v>1577</v>
      </c>
      <c r="B1418" s="561"/>
      <c r="C1418" s="561"/>
      <c r="D1418" s="561"/>
      <c r="E1418" s="561"/>
      <c r="F1418" s="561"/>
      <c r="G1418" s="124"/>
    </row>
    <row r="1419" ht="14.25" customHeight="1">
      <c r="A1419" s="1208" t="s">
        <v>2335</v>
      </c>
      <c r="B1419" s="561"/>
      <c r="C1419" s="561"/>
      <c r="D1419" s="561"/>
      <c r="E1419" s="561"/>
      <c r="F1419" s="561"/>
      <c r="G1419" s="124"/>
    </row>
    <row r="1420" ht="14.25" customHeight="1">
      <c r="A1420" s="1591" t="s">
        <v>1633</v>
      </c>
      <c r="B1420" s="1419" t="s">
        <v>1657</v>
      </c>
      <c r="C1420" s="1419" t="s">
        <v>1587</v>
      </c>
      <c r="D1420" s="1419" t="s">
        <v>1658</v>
      </c>
      <c r="E1420" s="1621" t="s">
        <v>1638</v>
      </c>
      <c r="F1420" s="1622" t="s">
        <v>1580</v>
      </c>
      <c r="G1420" s="1319"/>
    </row>
    <row r="1421" ht="14.25" customHeight="1">
      <c r="A1421" s="1282" t="s">
        <v>2336</v>
      </c>
      <c r="B1421" s="1320" t="str">
        <f>4.23+5.33</f>
        <v>9.56</v>
      </c>
      <c r="C1421" s="1257">
        <v>3.02</v>
      </c>
      <c r="D1421" s="1321"/>
      <c r="E1421" s="1322" t="str">
        <f>B1421*C1421</f>
        <v>28.87</v>
      </c>
      <c r="F1421" s="1595" t="s">
        <v>2337</v>
      </c>
      <c r="G1421" s="571"/>
    </row>
    <row r="1422" ht="14.25" customHeight="1">
      <c r="A1422" s="1324"/>
      <c r="B1422" s="127"/>
      <c r="C1422" s="712"/>
      <c r="D1422" s="1325" t="s">
        <v>1623</v>
      </c>
      <c r="E1422" s="1623" t="str">
        <f>SUM(E1421)</f>
        <v>28.87</v>
      </c>
      <c r="F1422" s="1520"/>
      <c r="G1422" s="1521"/>
    </row>
    <row r="1423" ht="14.25" customHeight="1">
      <c r="A1423" s="1183"/>
      <c r="B1423" s="1184"/>
      <c r="C1423" s="1184"/>
      <c r="D1423" s="1184"/>
      <c r="E1423" s="1184"/>
      <c r="F1423" s="1184"/>
      <c r="G1423" s="1185"/>
    </row>
    <row r="1424" ht="14.25" customHeight="1">
      <c r="A1424" s="1199" t="s">
        <v>2338</v>
      </c>
      <c r="B1424" s="1200" t="s">
        <v>1694</v>
      </c>
      <c r="C1424" s="28"/>
      <c r="D1424" s="28"/>
      <c r="E1424" s="28"/>
      <c r="F1424" s="28"/>
      <c r="G1424" s="29"/>
    </row>
    <row r="1425" ht="14.25" customHeight="1">
      <c r="A1425" s="1223" t="s">
        <v>1577</v>
      </c>
      <c r="B1425" s="561"/>
      <c r="C1425" s="561"/>
      <c r="D1425" s="561"/>
      <c r="E1425" s="561"/>
      <c r="F1425" s="561"/>
      <c r="G1425" s="124"/>
    </row>
    <row r="1426" ht="14.25" customHeight="1">
      <c r="A1426" s="1617" t="s">
        <v>1627</v>
      </c>
      <c r="B1426" s="561"/>
      <c r="C1426" s="561"/>
      <c r="D1426" s="561"/>
      <c r="E1426" s="561"/>
      <c r="F1426" s="561"/>
      <c r="G1426" s="124"/>
    </row>
    <row r="1427" ht="14.25" customHeight="1">
      <c r="A1427" s="1591" t="s">
        <v>1695</v>
      </c>
      <c r="B1427" s="1419" t="s">
        <v>1688</v>
      </c>
      <c r="C1427" s="1599" t="s">
        <v>1580</v>
      </c>
      <c r="D1427" s="561"/>
      <c r="E1427" s="561"/>
      <c r="F1427" s="561"/>
      <c r="G1427" s="124"/>
    </row>
    <row r="1428" ht="14.25" customHeight="1">
      <c r="A1428" s="1337">
        <v>40.0</v>
      </c>
      <c r="B1428" s="1338">
        <v>4.0</v>
      </c>
      <c r="C1428" s="1631"/>
      <c r="D1428" s="854"/>
      <c r="E1428" s="854"/>
      <c r="F1428" s="854"/>
      <c r="G1428" s="855"/>
    </row>
    <row r="1429" ht="14.25" customHeight="1">
      <c r="A1429" s="1282">
        <v>20.0</v>
      </c>
      <c r="B1429" s="1340">
        <v>46.0</v>
      </c>
      <c r="C1429" s="38"/>
      <c r="D1429" s="1259"/>
      <c r="E1429" s="1259"/>
      <c r="F1429" s="1259"/>
      <c r="G1429" s="1260"/>
    </row>
    <row r="1430" ht="14.25" customHeight="1">
      <c r="A1430" s="1341"/>
      <c r="B1430" s="1342"/>
      <c r="C1430" s="1632"/>
      <c r="D1430" s="1632"/>
      <c r="E1430" s="1632"/>
      <c r="F1430" s="1632"/>
      <c r="G1430" s="1633"/>
    </row>
    <row r="1431" ht="14.25" customHeight="1">
      <c r="A1431" s="1183"/>
      <c r="B1431" s="1184"/>
      <c r="C1431" s="1184"/>
      <c r="D1431" s="1184"/>
      <c r="E1431" s="1184"/>
      <c r="F1431" s="1184"/>
      <c r="G1431" s="1185"/>
    </row>
    <row r="1432" ht="14.25" customHeight="1">
      <c r="A1432" s="1199">
        <v>22.0</v>
      </c>
      <c r="B1432" s="1200" t="s">
        <v>2339</v>
      </c>
      <c r="C1432" s="28"/>
      <c r="D1432" s="28"/>
      <c r="E1432" s="28"/>
      <c r="F1432" s="28"/>
      <c r="G1432" s="29"/>
    </row>
    <row r="1433" ht="14.25" customHeight="1">
      <c r="A1433" s="1199" t="s">
        <v>2340</v>
      </c>
      <c r="B1433" s="1634" t="s">
        <v>2341</v>
      </c>
      <c r="C1433" s="1635"/>
      <c r="D1433" s="1635"/>
      <c r="E1433" s="1635"/>
      <c r="F1433" s="1635"/>
      <c r="G1433" s="1636"/>
    </row>
    <row r="1434" ht="14.25" customHeight="1">
      <c r="A1434" s="1281" t="s">
        <v>1577</v>
      </c>
      <c r="B1434" s="1259"/>
      <c r="C1434" s="1259"/>
      <c r="D1434" s="1259"/>
      <c r="E1434" s="1259"/>
      <c r="F1434" s="1259"/>
      <c r="G1434" s="1260"/>
    </row>
    <row r="1435" ht="14.25" customHeight="1">
      <c r="A1435" s="1208" t="s">
        <v>2342</v>
      </c>
      <c r="B1435" s="561"/>
      <c r="C1435" s="561"/>
      <c r="D1435" s="561"/>
      <c r="E1435" s="561"/>
      <c r="F1435" s="561"/>
      <c r="G1435" s="124"/>
    </row>
    <row r="1436" ht="14.25" customHeight="1">
      <c r="A1436" s="1470" t="s">
        <v>1967</v>
      </c>
      <c r="B1436" s="41"/>
      <c r="C1436" s="1427" t="s">
        <v>1579</v>
      </c>
      <c r="D1436" s="1427" t="s">
        <v>1579</v>
      </c>
      <c r="E1436" s="1429" t="s">
        <v>1580</v>
      </c>
      <c r="F1436" s="561"/>
      <c r="G1436" s="124"/>
    </row>
    <row r="1437" ht="14.25" customHeight="1">
      <c r="A1437" s="1294" t="s">
        <v>2343</v>
      </c>
      <c r="B1437" s="41"/>
      <c r="C1437" s="1466" t="s">
        <v>2141</v>
      </c>
      <c r="D1437" s="1214" t="str">
        <f>3.18+2.78+2.78</f>
        <v>8.74</v>
      </c>
      <c r="E1437" s="1252" t="s">
        <v>2142</v>
      </c>
      <c r="F1437" s="561"/>
      <c r="G1437" s="124"/>
    </row>
    <row r="1438" ht="14.25" customHeight="1">
      <c r="A1438" s="1294" t="s">
        <v>2143</v>
      </c>
      <c r="B1438" s="41"/>
      <c r="C1438" s="1466" t="s">
        <v>2144</v>
      </c>
      <c r="D1438" s="1214" t="str">
        <f>7.7+7.68+7.68</f>
        <v>23.06</v>
      </c>
      <c r="E1438" s="1252" t="s">
        <v>2145</v>
      </c>
      <c r="F1438" s="561"/>
      <c r="G1438" s="124"/>
    </row>
    <row r="1439" ht="14.25" customHeight="1">
      <c r="A1439" s="1515" t="s">
        <v>2344</v>
      </c>
      <c r="B1439" s="1210"/>
      <c r="C1439" s="1295" t="s">
        <v>2345</v>
      </c>
      <c r="D1439" s="1296" t="str">
        <f>34.87+72.37+10.55+19.64+20+10.61</f>
        <v>168.04</v>
      </c>
      <c r="E1439" s="1254" t="s">
        <v>2148</v>
      </c>
      <c r="F1439" s="854"/>
      <c r="G1439" s="855"/>
    </row>
    <row r="1440" ht="14.25" customHeight="1">
      <c r="A1440" s="1421"/>
      <c r="B1440" s="1418"/>
      <c r="C1440" s="37"/>
      <c r="D1440" s="37"/>
      <c r="E1440" s="1258"/>
      <c r="G1440" s="571"/>
    </row>
    <row r="1441" ht="14.25" customHeight="1">
      <c r="A1441" s="1213"/>
      <c r="B1441" s="39"/>
      <c r="C1441" s="1488"/>
      <c r="D1441" s="1488"/>
      <c r="E1441" s="38"/>
      <c r="F1441" s="1259"/>
      <c r="G1441" s="1260"/>
    </row>
    <row r="1442" ht="14.25" customHeight="1">
      <c r="A1442" s="1324" t="s">
        <v>2152</v>
      </c>
      <c r="B1442" s="127"/>
      <c r="C1442" s="712"/>
      <c r="D1442" s="1637" t="str">
        <f>SUM(D1437:D1441)</f>
        <v>199.84</v>
      </c>
      <c r="E1442" s="1336"/>
      <c r="F1442" s="127"/>
      <c r="G1442" s="128"/>
    </row>
    <row r="1443" ht="14.25" customHeight="1">
      <c r="A1443" s="1638"/>
      <c r="B1443" s="1638"/>
      <c r="C1443" s="1638"/>
      <c r="D1443" s="1638"/>
      <c r="E1443" s="1638"/>
      <c r="F1443" s="1638"/>
      <c r="G1443" s="1638"/>
    </row>
    <row r="1444" ht="14.25" customHeight="1">
      <c r="A1444" s="1199" t="s">
        <v>2346</v>
      </c>
      <c r="B1444" s="1200" t="s">
        <v>2347</v>
      </c>
      <c r="C1444" s="28"/>
      <c r="D1444" s="28"/>
      <c r="E1444" s="28"/>
      <c r="F1444" s="28"/>
      <c r="G1444" s="29"/>
    </row>
    <row r="1445" ht="14.25" customHeight="1">
      <c r="A1445" s="1281" t="s">
        <v>1577</v>
      </c>
      <c r="B1445" s="1259"/>
      <c r="C1445" s="1259"/>
      <c r="D1445" s="1259"/>
      <c r="E1445" s="1259"/>
      <c r="F1445" s="1259"/>
      <c r="G1445" s="1260"/>
    </row>
    <row r="1446" ht="14.25" customHeight="1">
      <c r="A1446" s="1208" t="s">
        <v>2342</v>
      </c>
      <c r="B1446" s="561"/>
      <c r="C1446" s="561"/>
      <c r="D1446" s="561"/>
      <c r="E1446" s="561"/>
      <c r="F1446" s="561"/>
      <c r="G1446" s="124"/>
    </row>
    <row r="1447" ht="14.25" customHeight="1">
      <c r="A1447" s="1470" t="s">
        <v>1967</v>
      </c>
      <c r="B1447" s="41"/>
      <c r="C1447" s="1427" t="s">
        <v>1579</v>
      </c>
      <c r="D1447" s="1427" t="s">
        <v>1579</v>
      </c>
      <c r="E1447" s="1429" t="s">
        <v>1580</v>
      </c>
      <c r="F1447" s="561"/>
      <c r="G1447" s="124"/>
    </row>
    <row r="1448" ht="14.25" customHeight="1">
      <c r="A1448" s="1639" t="s">
        <v>2348</v>
      </c>
      <c r="B1448" s="41"/>
      <c r="C1448" s="1466" t="s">
        <v>2349</v>
      </c>
      <c r="D1448" s="1640" t="str">
        <f>31.95+13.7+66.73</f>
        <v>112.38</v>
      </c>
      <c r="E1448" s="1309"/>
      <c r="F1448" s="561"/>
      <c r="G1448" s="124"/>
    </row>
    <row r="1449" ht="14.25" customHeight="1">
      <c r="A1449" s="1294" t="s">
        <v>2350</v>
      </c>
      <c r="B1449" s="41"/>
      <c r="C1449" s="1466" t="s">
        <v>2159</v>
      </c>
      <c r="D1449" s="1214" t="str">
        <f>68.14+108.42</f>
        <v>176.56</v>
      </c>
      <c r="E1449" s="1309"/>
      <c r="F1449" s="561"/>
      <c r="G1449" s="124"/>
    </row>
    <row r="1450" ht="14.25" customHeight="1">
      <c r="A1450" s="1324" t="s">
        <v>2152</v>
      </c>
      <c r="B1450" s="127"/>
      <c r="C1450" s="712"/>
      <c r="D1450" s="1637" t="str">
        <f>SUM(D1448)</f>
        <v>112.38</v>
      </c>
      <c r="E1450" s="1336"/>
      <c r="F1450" s="127"/>
      <c r="G1450" s="128"/>
    </row>
    <row r="1451" ht="5.25" customHeight="1"/>
    <row r="1452" ht="43.5" customHeight="1">
      <c r="A1452" s="1142" t="s">
        <v>1545</v>
      </c>
      <c r="B1452" s="618"/>
      <c r="C1452" s="1345"/>
      <c r="D1452" s="621" t="s">
        <v>1698</v>
      </c>
      <c r="E1452" s="28"/>
      <c r="F1452" s="28"/>
      <c r="G1452" s="29"/>
    </row>
  </sheetData>
  <mergeCells count="1020">
    <mergeCell ref="A372:G372"/>
    <mergeCell ref="A385:G385"/>
    <mergeCell ref="A220:D220"/>
    <mergeCell ref="E220:F220"/>
    <mergeCell ref="B222:G222"/>
    <mergeCell ref="A223:G223"/>
    <mergeCell ref="A195:B195"/>
    <mergeCell ref="E195:G196"/>
    <mergeCell ref="A216:G216"/>
    <mergeCell ref="A217:G217"/>
    <mergeCell ref="A189:G189"/>
    <mergeCell ref="B191:G191"/>
    <mergeCell ref="A192:G192"/>
    <mergeCell ref="A193:G193"/>
    <mergeCell ref="B198:G198"/>
    <mergeCell ref="B215:G215"/>
    <mergeCell ref="A180:G180"/>
    <mergeCell ref="A181:B181"/>
    <mergeCell ref="C181:D181"/>
    <mergeCell ref="E181:G181"/>
    <mergeCell ref="E172:G174"/>
    <mergeCell ref="A175:B175"/>
    <mergeCell ref="E175:G175"/>
    <mergeCell ref="E138:G141"/>
    <mergeCell ref="E157:G157"/>
    <mergeCell ref="E158:G163"/>
    <mergeCell ref="E142:G142"/>
    <mergeCell ref="E147:G147"/>
    <mergeCell ref="E137:G137"/>
    <mergeCell ref="A1452:B1452"/>
    <mergeCell ref="D1452:G1452"/>
    <mergeCell ref="E1448:G1448"/>
    <mergeCell ref="A1450:C1450"/>
    <mergeCell ref="A1446:G1446"/>
    <mergeCell ref="E1447:G1447"/>
    <mergeCell ref="B177:G177"/>
    <mergeCell ref="A155:G155"/>
    <mergeCell ref="A156:G156"/>
    <mergeCell ref="B82:G82"/>
    <mergeCell ref="A83:G83"/>
    <mergeCell ref="A26:C26"/>
    <mergeCell ref="B28:G28"/>
    <mergeCell ref="B14:G14"/>
    <mergeCell ref="A15:G15"/>
    <mergeCell ref="A19:B19"/>
    <mergeCell ref="A17:B18"/>
    <mergeCell ref="D17:G17"/>
    <mergeCell ref="D18:G18"/>
    <mergeCell ref="A1:G1"/>
    <mergeCell ref="A2:G2"/>
    <mergeCell ref="A3:G3"/>
    <mergeCell ref="B5:F5"/>
    <mergeCell ref="B6:E6"/>
    <mergeCell ref="D19:G19"/>
    <mergeCell ref="B21:G21"/>
    <mergeCell ref="A22:G22"/>
    <mergeCell ref="A23:G23"/>
    <mergeCell ref="B10:G10"/>
    <mergeCell ref="B12:G12"/>
    <mergeCell ref="A16:G16"/>
    <mergeCell ref="A9:G9"/>
    <mergeCell ref="B38:G38"/>
    <mergeCell ref="B32:C32"/>
    <mergeCell ref="E32:G35"/>
    <mergeCell ref="B33:C33"/>
    <mergeCell ref="B34:C34"/>
    <mergeCell ref="B35:C35"/>
    <mergeCell ref="A39:G39"/>
    <mergeCell ref="A40:G40"/>
    <mergeCell ref="B42:G42"/>
    <mergeCell ref="A43:G43"/>
    <mergeCell ref="A44:G44"/>
    <mergeCell ref="E25:G25"/>
    <mergeCell ref="E24:G24"/>
    <mergeCell ref="E50:G50"/>
    <mergeCell ref="B52:G52"/>
    <mergeCell ref="B56:G56"/>
    <mergeCell ref="A47:G47"/>
    <mergeCell ref="A48:G48"/>
    <mergeCell ref="B49:C49"/>
    <mergeCell ref="E49:G49"/>
    <mergeCell ref="B50:C50"/>
    <mergeCell ref="B46:G46"/>
    <mergeCell ref="B79:G79"/>
    <mergeCell ref="B81:G81"/>
    <mergeCell ref="E68:F68"/>
    <mergeCell ref="B69:C69"/>
    <mergeCell ref="E69:G69"/>
    <mergeCell ref="B70:C70"/>
    <mergeCell ref="E70:G70"/>
    <mergeCell ref="A57:G57"/>
    <mergeCell ref="A58:G58"/>
    <mergeCell ref="A97:G97"/>
    <mergeCell ref="E94:F94"/>
    <mergeCell ref="A95:G95"/>
    <mergeCell ref="C123:G123"/>
    <mergeCell ref="A108:G108"/>
    <mergeCell ref="A112:G112"/>
    <mergeCell ref="A118:G118"/>
    <mergeCell ref="B75:G75"/>
    <mergeCell ref="B77:G77"/>
    <mergeCell ref="B73:G73"/>
    <mergeCell ref="A29:G29"/>
    <mergeCell ref="A30:G30"/>
    <mergeCell ref="B31:C31"/>
    <mergeCell ref="E31:G31"/>
    <mergeCell ref="A53:G53"/>
    <mergeCell ref="A54:G54"/>
    <mergeCell ref="A266:G266"/>
    <mergeCell ref="F267:G267"/>
    <mergeCell ref="F268:G268"/>
    <mergeCell ref="A269:F269"/>
    <mergeCell ref="A258:G258"/>
    <mergeCell ref="A259:G259"/>
    <mergeCell ref="F260:G260"/>
    <mergeCell ref="F261:G261"/>
    <mergeCell ref="A262:F262"/>
    <mergeCell ref="A263:G263"/>
    <mergeCell ref="A252:G252"/>
    <mergeCell ref="F253:G253"/>
    <mergeCell ref="F254:G254"/>
    <mergeCell ref="A255:F255"/>
    <mergeCell ref="A256:G256"/>
    <mergeCell ref="B257:G257"/>
    <mergeCell ref="A245:G245"/>
    <mergeCell ref="F246:G246"/>
    <mergeCell ref="F247:G247"/>
    <mergeCell ref="A248:F248"/>
    <mergeCell ref="B250:G250"/>
    <mergeCell ref="A251:G251"/>
    <mergeCell ref="A238:G238"/>
    <mergeCell ref="F239:G239"/>
    <mergeCell ref="F240:G240"/>
    <mergeCell ref="A241:F241"/>
    <mergeCell ref="B243:G243"/>
    <mergeCell ref="A244:G244"/>
    <mergeCell ref="A231:G231"/>
    <mergeCell ref="F232:G232"/>
    <mergeCell ref="F233:G233"/>
    <mergeCell ref="A234:F234"/>
    <mergeCell ref="B236:G236"/>
    <mergeCell ref="A237:G237"/>
    <mergeCell ref="A224:G224"/>
    <mergeCell ref="F225:G225"/>
    <mergeCell ref="F226:G226"/>
    <mergeCell ref="A227:F227"/>
    <mergeCell ref="B229:G229"/>
    <mergeCell ref="A230:G230"/>
    <mergeCell ref="F218:G218"/>
    <mergeCell ref="F219:G219"/>
    <mergeCell ref="A194:B194"/>
    <mergeCell ref="E194:G194"/>
    <mergeCell ref="A187:B187"/>
    <mergeCell ref="C187:D187"/>
    <mergeCell ref="E187:G187"/>
    <mergeCell ref="A188:B188"/>
    <mergeCell ref="C188:D188"/>
    <mergeCell ref="E188:G188"/>
    <mergeCell ref="A182:B182"/>
    <mergeCell ref="C182:D182"/>
    <mergeCell ref="E182:G182"/>
    <mergeCell ref="B184:G184"/>
    <mergeCell ref="A185:G185"/>
    <mergeCell ref="A186:G186"/>
    <mergeCell ref="B178:G178"/>
    <mergeCell ref="A179:G179"/>
    <mergeCell ref="E152:G152"/>
    <mergeCell ref="B154:G154"/>
    <mergeCell ref="A169:G169"/>
    <mergeCell ref="E170:G170"/>
    <mergeCell ref="A165:B165"/>
    <mergeCell ref="E165:G165"/>
    <mergeCell ref="B167:G167"/>
    <mergeCell ref="A168:G168"/>
    <mergeCell ref="A152:B152"/>
    <mergeCell ref="A142:B142"/>
    <mergeCell ref="B144:G144"/>
    <mergeCell ref="A145:G145"/>
    <mergeCell ref="A146:G146"/>
    <mergeCell ref="A138:A141"/>
    <mergeCell ref="B138:B141"/>
    <mergeCell ref="C138:C141"/>
    <mergeCell ref="D138:D141"/>
    <mergeCell ref="C131:F131"/>
    <mergeCell ref="A132:B132"/>
    <mergeCell ref="C132:F132"/>
    <mergeCell ref="B134:G134"/>
    <mergeCell ref="A135:G135"/>
    <mergeCell ref="A136:G136"/>
    <mergeCell ref="C128:F128"/>
    <mergeCell ref="C129:F129"/>
    <mergeCell ref="A123:B123"/>
    <mergeCell ref="A124:B131"/>
    <mergeCell ref="C124:F124"/>
    <mergeCell ref="C125:F125"/>
    <mergeCell ref="C126:F126"/>
    <mergeCell ref="C127:F127"/>
    <mergeCell ref="C130:F130"/>
    <mergeCell ref="E1449:G1449"/>
    <mergeCell ref="E1450:G1450"/>
    <mergeCell ref="A1442:C1442"/>
    <mergeCell ref="E1442:G1442"/>
    <mergeCell ref="B1444:G1444"/>
    <mergeCell ref="A1445:G1445"/>
    <mergeCell ref="A1448:B1448"/>
    <mergeCell ref="A1447:B1447"/>
    <mergeCell ref="E1438:G1438"/>
    <mergeCell ref="C1439:C1441"/>
    <mergeCell ref="D1439:D1441"/>
    <mergeCell ref="E1439:G1441"/>
    <mergeCell ref="A1434:G1434"/>
    <mergeCell ref="A1435:G1435"/>
    <mergeCell ref="A1436:B1436"/>
    <mergeCell ref="E1436:G1436"/>
    <mergeCell ref="A1449:B1449"/>
    <mergeCell ref="A1438:B1438"/>
    <mergeCell ref="A1439:B1441"/>
    <mergeCell ref="A1437:B1437"/>
    <mergeCell ref="E1437:G1437"/>
    <mergeCell ref="B1424:G1424"/>
    <mergeCell ref="A1425:G1425"/>
    <mergeCell ref="A1426:G1426"/>
    <mergeCell ref="C1427:G1427"/>
    <mergeCell ref="B1417:G1417"/>
    <mergeCell ref="A1418:G1418"/>
    <mergeCell ref="A1419:G1419"/>
    <mergeCell ref="F1420:G1420"/>
    <mergeCell ref="F1421:G1422"/>
    <mergeCell ref="A1422:C1422"/>
    <mergeCell ref="B1409:G1409"/>
    <mergeCell ref="A1410:G1410"/>
    <mergeCell ref="A1411:G1411"/>
    <mergeCell ref="F1412:G1412"/>
    <mergeCell ref="F1413:G1413"/>
    <mergeCell ref="A1415:C1415"/>
    <mergeCell ref="B1401:G1401"/>
    <mergeCell ref="A1402:G1402"/>
    <mergeCell ref="A1403:G1403"/>
    <mergeCell ref="F1404:G1404"/>
    <mergeCell ref="F1405:G1405"/>
    <mergeCell ref="A1407:C1407"/>
    <mergeCell ref="B1393:G1393"/>
    <mergeCell ref="A1394:G1394"/>
    <mergeCell ref="A1395:G1395"/>
    <mergeCell ref="F1396:G1396"/>
    <mergeCell ref="F1397:G1397"/>
    <mergeCell ref="A1399:C1399"/>
    <mergeCell ref="B1385:G1385"/>
    <mergeCell ref="A1386:G1386"/>
    <mergeCell ref="A1387:G1387"/>
    <mergeCell ref="F1388:G1388"/>
    <mergeCell ref="F1389:G1389"/>
    <mergeCell ref="A1391:C1391"/>
    <mergeCell ref="B1378:G1378"/>
    <mergeCell ref="A1379:G1379"/>
    <mergeCell ref="A1380:G1380"/>
    <mergeCell ref="F1381:G1381"/>
    <mergeCell ref="F1382:G1382"/>
    <mergeCell ref="A1383:C1383"/>
    <mergeCell ref="B1370:G1370"/>
    <mergeCell ref="A1371:G1371"/>
    <mergeCell ref="A1372:G1372"/>
    <mergeCell ref="E1373:G1373"/>
    <mergeCell ref="E1374:G1375"/>
    <mergeCell ref="E1376:G1376"/>
    <mergeCell ref="A1365:G1365"/>
    <mergeCell ref="A1366:B1366"/>
    <mergeCell ref="E1366:G1366"/>
    <mergeCell ref="A1367:B1367"/>
    <mergeCell ref="E1367:G1367"/>
    <mergeCell ref="A1368:C1368"/>
    <mergeCell ref="E1368:G1368"/>
    <mergeCell ref="A1360:B1360"/>
    <mergeCell ref="E1360:G1360"/>
    <mergeCell ref="A1361:C1361"/>
    <mergeCell ref="E1361:G1361"/>
    <mergeCell ref="B1363:G1363"/>
    <mergeCell ref="A1364:G1364"/>
    <mergeCell ref="A1354:C1354"/>
    <mergeCell ref="E1354:G1354"/>
    <mergeCell ref="B1356:G1356"/>
    <mergeCell ref="A1357:G1357"/>
    <mergeCell ref="A1358:G1358"/>
    <mergeCell ref="A1359:B1359"/>
    <mergeCell ref="E1359:G1359"/>
    <mergeCell ref="A1350:G1350"/>
    <mergeCell ref="A1351:G1351"/>
    <mergeCell ref="A1352:B1352"/>
    <mergeCell ref="E1352:G1352"/>
    <mergeCell ref="A1353:B1353"/>
    <mergeCell ref="E1353:G1353"/>
    <mergeCell ref="A1343:G1343"/>
    <mergeCell ref="A1344:G1344"/>
    <mergeCell ref="F1345:G1345"/>
    <mergeCell ref="F1346:G1346"/>
    <mergeCell ref="A1347:C1347"/>
    <mergeCell ref="B1349:G1349"/>
    <mergeCell ref="A1336:G1336"/>
    <mergeCell ref="F1337:G1337"/>
    <mergeCell ref="F1338:G1338"/>
    <mergeCell ref="F1339:G1339"/>
    <mergeCell ref="A1340:C1340"/>
    <mergeCell ref="B1342:G1342"/>
    <mergeCell ref="F1329:G1329"/>
    <mergeCell ref="F1330:G1330"/>
    <mergeCell ref="F1331:G1331"/>
    <mergeCell ref="A1332:C1332"/>
    <mergeCell ref="B1334:G1334"/>
    <mergeCell ref="A1335:G1335"/>
    <mergeCell ref="F1322:G1322"/>
    <mergeCell ref="F1323:G1323"/>
    <mergeCell ref="A1324:C1324"/>
    <mergeCell ref="B1326:G1326"/>
    <mergeCell ref="A1327:G1327"/>
    <mergeCell ref="A1328:G1328"/>
    <mergeCell ref="F1315:G1315"/>
    <mergeCell ref="A1316:C1316"/>
    <mergeCell ref="B1318:G1318"/>
    <mergeCell ref="A1319:G1319"/>
    <mergeCell ref="A1320:G1320"/>
    <mergeCell ref="F1321:G1321"/>
    <mergeCell ref="A1308:C1308"/>
    <mergeCell ref="B1310:G1310"/>
    <mergeCell ref="A1311:G1311"/>
    <mergeCell ref="A1312:G1312"/>
    <mergeCell ref="F1313:G1313"/>
    <mergeCell ref="F1314:G1314"/>
    <mergeCell ref="B1302:G1302"/>
    <mergeCell ref="A1303:G1303"/>
    <mergeCell ref="A1304:G1304"/>
    <mergeCell ref="F1305:G1305"/>
    <mergeCell ref="F1306:G1306"/>
    <mergeCell ref="F1307:G1307"/>
    <mergeCell ref="B1295:G1295"/>
    <mergeCell ref="A1296:G1296"/>
    <mergeCell ref="A1297:G1297"/>
    <mergeCell ref="F1298:G1298"/>
    <mergeCell ref="F1299:G1299"/>
    <mergeCell ref="A1300:C1300"/>
    <mergeCell ref="B1290:C1290"/>
    <mergeCell ref="D1290:G1290"/>
    <mergeCell ref="B1291:C1291"/>
    <mergeCell ref="D1291:G1291"/>
    <mergeCell ref="B1292:C1292"/>
    <mergeCell ref="A1294:G1294"/>
    <mergeCell ref="B1284:C1284"/>
    <mergeCell ref="D1284:G1284"/>
    <mergeCell ref="B1285:C1285"/>
    <mergeCell ref="B1287:G1287"/>
    <mergeCell ref="A1288:G1288"/>
    <mergeCell ref="A1289:G1289"/>
    <mergeCell ref="A1278:C1278"/>
    <mergeCell ref="E1278:G1278"/>
    <mergeCell ref="B1280:G1280"/>
    <mergeCell ref="A1281:G1281"/>
    <mergeCell ref="A1282:G1282"/>
    <mergeCell ref="B1283:C1283"/>
    <mergeCell ref="C1428:G1429"/>
    <mergeCell ref="B1432:G1432"/>
    <mergeCell ref="B1266:G1266"/>
    <mergeCell ref="A1267:G1267"/>
    <mergeCell ref="A1268:G1268"/>
    <mergeCell ref="E1269:G1269"/>
    <mergeCell ref="E1270:G1270"/>
    <mergeCell ref="A1271:C1271"/>
    <mergeCell ref="E1271:G1271"/>
    <mergeCell ref="B1259:G1259"/>
    <mergeCell ref="A1260:G1260"/>
    <mergeCell ref="A1261:G1261"/>
    <mergeCell ref="E1262:G1262"/>
    <mergeCell ref="E1263:G1263"/>
    <mergeCell ref="A1264:C1264"/>
    <mergeCell ref="E1264:G1264"/>
    <mergeCell ref="A1254:G1254"/>
    <mergeCell ref="A1255:B1255"/>
    <mergeCell ref="E1255:G1255"/>
    <mergeCell ref="A1256:B1256"/>
    <mergeCell ref="E1256:G1256"/>
    <mergeCell ref="A1257:C1257"/>
    <mergeCell ref="E1257:G1257"/>
    <mergeCell ref="A1249:B1249"/>
    <mergeCell ref="E1249:G1249"/>
    <mergeCell ref="A1250:C1250"/>
    <mergeCell ref="E1250:G1250"/>
    <mergeCell ref="B1252:G1252"/>
    <mergeCell ref="A1253:G1253"/>
    <mergeCell ref="A1243:C1243"/>
    <mergeCell ref="E1243:G1243"/>
    <mergeCell ref="B1245:G1245"/>
    <mergeCell ref="A1246:G1246"/>
    <mergeCell ref="A1247:G1247"/>
    <mergeCell ref="A1248:B1248"/>
    <mergeCell ref="E1248:G1248"/>
    <mergeCell ref="A1239:G1239"/>
    <mergeCell ref="A1240:G1240"/>
    <mergeCell ref="A1241:B1241"/>
    <mergeCell ref="E1241:G1241"/>
    <mergeCell ref="A1242:B1242"/>
    <mergeCell ref="E1242:G1242"/>
    <mergeCell ref="B1229:G1229"/>
    <mergeCell ref="B1231:G1231"/>
    <mergeCell ref="B1233:G1233"/>
    <mergeCell ref="B1235:G1235"/>
    <mergeCell ref="B1237:G1237"/>
    <mergeCell ref="B1238:G1238"/>
    <mergeCell ref="A1220:G1220"/>
    <mergeCell ref="E1221:G1221"/>
    <mergeCell ref="C1222:G1222"/>
    <mergeCell ref="C1223:G1223"/>
    <mergeCell ref="B1225:G1225"/>
    <mergeCell ref="B1227:G1227"/>
    <mergeCell ref="C1210:F1210"/>
    <mergeCell ref="C1211:G1214"/>
    <mergeCell ref="C1215:G1215"/>
    <mergeCell ref="B1217:G1217"/>
    <mergeCell ref="B1218:G1218"/>
    <mergeCell ref="A1219:G1219"/>
    <mergeCell ref="A1196:G1196"/>
    <mergeCell ref="C1197:F1197"/>
    <mergeCell ref="C1205:G1205"/>
    <mergeCell ref="B1207:G1207"/>
    <mergeCell ref="A1208:G1208"/>
    <mergeCell ref="A1209:G1209"/>
    <mergeCell ref="A1181:G1181"/>
    <mergeCell ref="A1182:G1182"/>
    <mergeCell ref="C1183:F1183"/>
    <mergeCell ref="C1192:G1192"/>
    <mergeCell ref="B1194:G1194"/>
    <mergeCell ref="A1195:G1195"/>
    <mergeCell ref="B1167:G1167"/>
    <mergeCell ref="A1168:G1168"/>
    <mergeCell ref="A1169:G1169"/>
    <mergeCell ref="C1170:F1170"/>
    <mergeCell ref="C1178:G1178"/>
    <mergeCell ref="B1180:G1180"/>
    <mergeCell ref="B1159:G1159"/>
    <mergeCell ref="A1160:G1160"/>
    <mergeCell ref="A1161:G1161"/>
    <mergeCell ref="C1162:G1162"/>
    <mergeCell ref="C1163:G1164"/>
    <mergeCell ref="C1165:G1165"/>
    <mergeCell ref="B1151:G1151"/>
    <mergeCell ref="A1152:G1152"/>
    <mergeCell ref="A1153:G1153"/>
    <mergeCell ref="C1154:F1154"/>
    <mergeCell ref="C1155:G1156"/>
    <mergeCell ref="C1157:G1157"/>
    <mergeCell ref="B1143:G1143"/>
    <mergeCell ref="A1144:G1144"/>
    <mergeCell ref="A1145:G1145"/>
    <mergeCell ref="C1146:E1146"/>
    <mergeCell ref="C1147:G1148"/>
    <mergeCell ref="C1149:G1149"/>
    <mergeCell ref="A1136:G1136"/>
    <mergeCell ref="A1137:G1137"/>
    <mergeCell ref="C1138:G1138"/>
    <mergeCell ref="C1139:G1139"/>
    <mergeCell ref="C1140:G1140"/>
    <mergeCell ref="B1142:G1142"/>
    <mergeCell ref="B1127:G1127"/>
    <mergeCell ref="A1128:G1128"/>
    <mergeCell ref="A1129:G1129"/>
    <mergeCell ref="C1130:G1130"/>
    <mergeCell ref="C1133:G1133"/>
    <mergeCell ref="B1135:G1135"/>
    <mergeCell ref="C1117:G1117"/>
    <mergeCell ref="B1119:G1119"/>
    <mergeCell ref="A1120:G1120"/>
    <mergeCell ref="A1121:G1121"/>
    <mergeCell ref="C1122:G1122"/>
    <mergeCell ref="C1125:G1125"/>
    <mergeCell ref="C1109:G1109"/>
    <mergeCell ref="B1111:G1111"/>
    <mergeCell ref="A1112:G1112"/>
    <mergeCell ref="A1113:G1113"/>
    <mergeCell ref="C1114:G1114"/>
    <mergeCell ref="C1115:G1116"/>
    <mergeCell ref="C1099:G1099"/>
    <mergeCell ref="B1101:G1101"/>
    <mergeCell ref="A1102:G1102"/>
    <mergeCell ref="A1103:G1103"/>
    <mergeCell ref="C1104:G1104"/>
    <mergeCell ref="C1105:G1108"/>
    <mergeCell ref="C1089:G1090"/>
    <mergeCell ref="C1091:G1091"/>
    <mergeCell ref="B1093:G1093"/>
    <mergeCell ref="A1094:G1094"/>
    <mergeCell ref="A1095:G1095"/>
    <mergeCell ref="C1096:G1096"/>
    <mergeCell ref="B1083:G1083"/>
    <mergeCell ref="B1084:G1084"/>
    <mergeCell ref="B1085:G1085"/>
    <mergeCell ref="A1086:G1086"/>
    <mergeCell ref="A1087:G1087"/>
    <mergeCell ref="C1088:G1088"/>
    <mergeCell ref="A1075:G1075"/>
    <mergeCell ref="A1076:B1076"/>
    <mergeCell ref="E1076:G1076"/>
    <mergeCell ref="A1077:B1077"/>
    <mergeCell ref="E1077:G1081"/>
    <mergeCell ref="A1078:B1078"/>
    <mergeCell ref="A1079:B1079"/>
    <mergeCell ref="A1080:B1080"/>
    <mergeCell ref="A1069:B1069"/>
    <mergeCell ref="E1069:G1069"/>
    <mergeCell ref="A1070:B1070"/>
    <mergeCell ref="E1070:G1071"/>
    <mergeCell ref="B1073:G1073"/>
    <mergeCell ref="A1074:G1074"/>
    <mergeCell ref="A1062:B1062"/>
    <mergeCell ref="E1062:G1064"/>
    <mergeCell ref="A1063:B1063"/>
    <mergeCell ref="B1066:G1066"/>
    <mergeCell ref="A1067:G1067"/>
    <mergeCell ref="D1283:G1283"/>
    <mergeCell ref="A1272:G1272"/>
    <mergeCell ref="B1273:G1273"/>
    <mergeCell ref="A1274:G1274"/>
    <mergeCell ref="A1275:G1275"/>
    <mergeCell ref="E1276:G1276"/>
    <mergeCell ref="E1277:G1277"/>
    <mergeCell ref="A1050:B1055"/>
    <mergeCell ref="C1050:F1050"/>
    <mergeCell ref="C1051:F1051"/>
    <mergeCell ref="C1052:F1052"/>
    <mergeCell ref="C1053:F1053"/>
    <mergeCell ref="C1054:F1054"/>
    <mergeCell ref="C1055:F1055"/>
    <mergeCell ref="A1029:G1029"/>
    <mergeCell ref="A1030:G1030"/>
    <mergeCell ref="A1039:G1039"/>
    <mergeCell ref="A1040:G1040"/>
    <mergeCell ref="A1048:G1048"/>
    <mergeCell ref="A1049:G1049"/>
    <mergeCell ref="C1015:F1015"/>
    <mergeCell ref="A1016:F1016"/>
    <mergeCell ref="B1018:G1018"/>
    <mergeCell ref="A1019:G1019"/>
    <mergeCell ref="A1020:G1020"/>
    <mergeCell ref="A1022:G1022"/>
    <mergeCell ref="A999:G999"/>
    <mergeCell ref="A1000:G1000"/>
    <mergeCell ref="A1008:G1008"/>
    <mergeCell ref="A1009:G1009"/>
    <mergeCell ref="A1010:B1015"/>
    <mergeCell ref="C1010:F1010"/>
    <mergeCell ref="C1011:F1011"/>
    <mergeCell ref="C1012:F1012"/>
    <mergeCell ref="C1013:F1013"/>
    <mergeCell ref="C1014:F1014"/>
    <mergeCell ref="B978:G978"/>
    <mergeCell ref="A979:G979"/>
    <mergeCell ref="A980:G980"/>
    <mergeCell ref="A982:G982"/>
    <mergeCell ref="A989:G989"/>
    <mergeCell ref="A990:G990"/>
    <mergeCell ref="A1068:G1068"/>
    <mergeCell ref="A1056:F1056"/>
    <mergeCell ref="B1058:G1058"/>
    <mergeCell ref="A1059:G1059"/>
    <mergeCell ref="A1060:G1060"/>
    <mergeCell ref="A1061:B1061"/>
    <mergeCell ref="E1061:G1061"/>
    <mergeCell ref="A970:B970"/>
    <mergeCell ref="A971:B971"/>
    <mergeCell ref="A972:B972"/>
    <mergeCell ref="A973:B973"/>
    <mergeCell ref="A974:B974"/>
    <mergeCell ref="A975:B975"/>
    <mergeCell ref="A962:B962"/>
    <mergeCell ref="E962:G962"/>
    <mergeCell ref="A954:B954"/>
    <mergeCell ref="A955:B955"/>
    <mergeCell ref="A956:B956"/>
    <mergeCell ref="B959:G959"/>
    <mergeCell ref="A963:B963"/>
    <mergeCell ref="E963:G976"/>
    <mergeCell ref="A964:B964"/>
    <mergeCell ref="A965:B965"/>
    <mergeCell ref="A966:B966"/>
    <mergeCell ref="A967:B967"/>
    <mergeCell ref="A968:B968"/>
    <mergeCell ref="A969:B969"/>
    <mergeCell ref="A960:G960"/>
    <mergeCell ref="A961:G961"/>
    <mergeCell ref="A948:B948"/>
    <mergeCell ref="A949:B949"/>
    <mergeCell ref="A950:B950"/>
    <mergeCell ref="A951:B951"/>
    <mergeCell ref="A952:B952"/>
    <mergeCell ref="A953:B953"/>
    <mergeCell ref="B940:G940"/>
    <mergeCell ref="A941:G941"/>
    <mergeCell ref="A942:G942"/>
    <mergeCell ref="A943:B943"/>
    <mergeCell ref="E943:G943"/>
    <mergeCell ref="A944:B944"/>
    <mergeCell ref="E944:G957"/>
    <mergeCell ref="A945:B945"/>
    <mergeCell ref="A946:B946"/>
    <mergeCell ref="A947:B947"/>
    <mergeCell ref="A932:B932"/>
    <mergeCell ref="A933:B933"/>
    <mergeCell ref="A934:B934"/>
    <mergeCell ref="A935:B935"/>
    <mergeCell ref="A936:B936"/>
    <mergeCell ref="A937:B937"/>
    <mergeCell ref="A929:B929"/>
    <mergeCell ref="A930:B930"/>
    <mergeCell ref="A931:B931"/>
    <mergeCell ref="A917:F917"/>
    <mergeCell ref="B919:G919"/>
    <mergeCell ref="A920:G920"/>
    <mergeCell ref="A921:G921"/>
    <mergeCell ref="A922:B922"/>
    <mergeCell ref="E922:G922"/>
    <mergeCell ref="A910:G910"/>
    <mergeCell ref="A911:B916"/>
    <mergeCell ref="C911:F911"/>
    <mergeCell ref="C912:F912"/>
    <mergeCell ref="C913:F913"/>
    <mergeCell ref="C914:F914"/>
    <mergeCell ref="C915:F915"/>
    <mergeCell ref="C916:F916"/>
    <mergeCell ref="A875:G875"/>
    <mergeCell ref="A884:G884"/>
    <mergeCell ref="A885:G885"/>
    <mergeCell ref="A898:G898"/>
    <mergeCell ref="A899:G899"/>
    <mergeCell ref="A909:G909"/>
    <mergeCell ref="C867:F867"/>
    <mergeCell ref="C868:F868"/>
    <mergeCell ref="A869:F869"/>
    <mergeCell ref="B871:G871"/>
    <mergeCell ref="A872:G872"/>
    <mergeCell ref="A873:G873"/>
    <mergeCell ref="A837:G837"/>
    <mergeCell ref="A850:G850"/>
    <mergeCell ref="A851:G851"/>
    <mergeCell ref="A861:G861"/>
    <mergeCell ref="A862:G862"/>
    <mergeCell ref="A863:B868"/>
    <mergeCell ref="C863:F863"/>
    <mergeCell ref="C864:F864"/>
    <mergeCell ref="C865:F865"/>
    <mergeCell ref="C866:F866"/>
    <mergeCell ref="A821:F821"/>
    <mergeCell ref="B823:G823"/>
    <mergeCell ref="A824:G824"/>
    <mergeCell ref="A825:G825"/>
    <mergeCell ref="A827:G827"/>
    <mergeCell ref="A836:G836"/>
    <mergeCell ref="A803:G803"/>
    <mergeCell ref="A813:G813"/>
    <mergeCell ref="A814:G814"/>
    <mergeCell ref="A815:B820"/>
    <mergeCell ref="C815:F815"/>
    <mergeCell ref="C816:F816"/>
    <mergeCell ref="C817:F817"/>
    <mergeCell ref="C818:F818"/>
    <mergeCell ref="C819:F819"/>
    <mergeCell ref="C820:F820"/>
    <mergeCell ref="A776:G776"/>
    <mergeCell ref="A777:G777"/>
    <mergeCell ref="A779:G779"/>
    <mergeCell ref="A788:G788"/>
    <mergeCell ref="A789:G789"/>
    <mergeCell ref="A802:G802"/>
    <mergeCell ref="F767:G767"/>
    <mergeCell ref="F768:G772"/>
    <mergeCell ref="A769:C769"/>
    <mergeCell ref="A772:C772"/>
    <mergeCell ref="B774:G774"/>
    <mergeCell ref="B775:G775"/>
    <mergeCell ref="F761:G761"/>
    <mergeCell ref="A762:E762"/>
    <mergeCell ref="F762:G762"/>
    <mergeCell ref="B764:G764"/>
    <mergeCell ref="A765:G765"/>
    <mergeCell ref="A766:G766"/>
    <mergeCell ref="A755:E755"/>
    <mergeCell ref="F755:G755"/>
    <mergeCell ref="B757:G757"/>
    <mergeCell ref="A758:G758"/>
    <mergeCell ref="A759:G759"/>
    <mergeCell ref="F760:G760"/>
    <mergeCell ref="B749:G749"/>
    <mergeCell ref="B750:G750"/>
    <mergeCell ref="A751:G751"/>
    <mergeCell ref="A752:G752"/>
    <mergeCell ref="F753:G753"/>
    <mergeCell ref="F754:G754"/>
    <mergeCell ref="A738:C738"/>
    <mergeCell ref="B740:G740"/>
    <mergeCell ref="B741:G741"/>
    <mergeCell ref="A742:G742"/>
    <mergeCell ref="A743:G743"/>
    <mergeCell ref="A747:F747"/>
    <mergeCell ref="A733:G733"/>
    <mergeCell ref="A734:B734"/>
    <mergeCell ref="F734:G734"/>
    <mergeCell ref="A735:B737"/>
    <mergeCell ref="C735:C737"/>
    <mergeCell ref="D735:D737"/>
    <mergeCell ref="E735:E737"/>
    <mergeCell ref="F735:G737"/>
    <mergeCell ref="A728:B728"/>
    <mergeCell ref="E728:G728"/>
    <mergeCell ref="A729:C729"/>
    <mergeCell ref="E729:G729"/>
    <mergeCell ref="B731:G731"/>
    <mergeCell ref="A732:G732"/>
    <mergeCell ref="A724:G724"/>
    <mergeCell ref="A725:B725"/>
    <mergeCell ref="E725:G725"/>
    <mergeCell ref="A726:B726"/>
    <mergeCell ref="E726:G726"/>
    <mergeCell ref="A727:B727"/>
    <mergeCell ref="E727:G727"/>
    <mergeCell ref="A719:B719"/>
    <mergeCell ref="E719:G719"/>
    <mergeCell ref="A720:C720"/>
    <mergeCell ref="E720:G720"/>
    <mergeCell ref="B722:G722"/>
    <mergeCell ref="A723:G723"/>
    <mergeCell ref="A715:G715"/>
    <mergeCell ref="A716:B716"/>
    <mergeCell ref="E716:G716"/>
    <mergeCell ref="A717:B717"/>
    <mergeCell ref="E717:G717"/>
    <mergeCell ref="A718:B718"/>
    <mergeCell ref="E718:G718"/>
    <mergeCell ref="A710:B710"/>
    <mergeCell ref="E710:G710"/>
    <mergeCell ref="A711:C711"/>
    <mergeCell ref="E711:G711"/>
    <mergeCell ref="B713:G713"/>
    <mergeCell ref="A714:G714"/>
    <mergeCell ref="A705:G705"/>
    <mergeCell ref="B706:G706"/>
    <mergeCell ref="A707:G707"/>
    <mergeCell ref="A708:G708"/>
    <mergeCell ref="A709:B709"/>
    <mergeCell ref="E709:G709"/>
    <mergeCell ref="A702:B702"/>
    <mergeCell ref="E702:G702"/>
    <mergeCell ref="A703:B703"/>
    <mergeCell ref="E703:G703"/>
    <mergeCell ref="A704:C704"/>
    <mergeCell ref="E704:G704"/>
    <mergeCell ref="A698:G698"/>
    <mergeCell ref="A699:B699"/>
    <mergeCell ref="E699:G699"/>
    <mergeCell ref="A700:B700"/>
    <mergeCell ref="E700:G700"/>
    <mergeCell ref="A701:B701"/>
    <mergeCell ref="E701:G701"/>
    <mergeCell ref="A693:B693"/>
    <mergeCell ref="E693:G693"/>
    <mergeCell ref="A694:C694"/>
    <mergeCell ref="E694:G694"/>
    <mergeCell ref="B696:G696"/>
    <mergeCell ref="A697:G697"/>
    <mergeCell ref="A690:B690"/>
    <mergeCell ref="E690:G690"/>
    <mergeCell ref="A691:B691"/>
    <mergeCell ref="E691:G691"/>
    <mergeCell ref="A692:B692"/>
    <mergeCell ref="E692:G692"/>
    <mergeCell ref="B685:G685"/>
    <mergeCell ref="A686:G686"/>
    <mergeCell ref="A687:G687"/>
    <mergeCell ref="A688:B688"/>
    <mergeCell ref="E688:G688"/>
    <mergeCell ref="A689:B689"/>
    <mergeCell ref="E689:G689"/>
    <mergeCell ref="A677:B677"/>
    <mergeCell ref="A678:B678"/>
    <mergeCell ref="A679:B679"/>
    <mergeCell ref="A680:B680"/>
    <mergeCell ref="A681:B681"/>
    <mergeCell ref="B684:G684"/>
    <mergeCell ref="A923:B923"/>
    <mergeCell ref="E923:G938"/>
    <mergeCell ref="A924:B924"/>
    <mergeCell ref="A925:B925"/>
    <mergeCell ref="A926:B926"/>
    <mergeCell ref="A927:B927"/>
    <mergeCell ref="A928:B928"/>
    <mergeCell ref="A669:B669"/>
    <mergeCell ref="E669:G669"/>
    <mergeCell ref="A670:B670"/>
    <mergeCell ref="E670:G682"/>
    <mergeCell ref="A671:B671"/>
    <mergeCell ref="A672:B672"/>
    <mergeCell ref="A673:B673"/>
    <mergeCell ref="A674:B674"/>
    <mergeCell ref="A675:B675"/>
    <mergeCell ref="A676:B676"/>
    <mergeCell ref="A661:B661"/>
    <mergeCell ref="A662:B662"/>
    <mergeCell ref="A663:B663"/>
    <mergeCell ref="B666:G666"/>
    <mergeCell ref="A667:G667"/>
    <mergeCell ref="A668:G668"/>
    <mergeCell ref="A658:B658"/>
    <mergeCell ref="A659:B659"/>
    <mergeCell ref="A660:B660"/>
    <mergeCell ref="A646:F646"/>
    <mergeCell ref="A651:B651"/>
    <mergeCell ref="B648:G648"/>
    <mergeCell ref="A649:G649"/>
    <mergeCell ref="A650:G650"/>
    <mergeCell ref="E651:G651"/>
    <mergeCell ref="A639:G639"/>
    <mergeCell ref="A640:B645"/>
    <mergeCell ref="C640:F640"/>
    <mergeCell ref="C641:F641"/>
    <mergeCell ref="C642:F642"/>
    <mergeCell ref="C643:F643"/>
    <mergeCell ref="C644:F644"/>
    <mergeCell ref="C645:F645"/>
    <mergeCell ref="A626:G626"/>
    <mergeCell ref="A629:G629"/>
    <mergeCell ref="A630:G630"/>
    <mergeCell ref="A633:G633"/>
    <mergeCell ref="A634:G634"/>
    <mergeCell ref="A638:G638"/>
    <mergeCell ref="C618:F618"/>
    <mergeCell ref="C619:F619"/>
    <mergeCell ref="A620:F620"/>
    <mergeCell ref="B622:G622"/>
    <mergeCell ref="A623:G623"/>
    <mergeCell ref="A624:G624"/>
    <mergeCell ref="A594:G594"/>
    <mergeCell ref="A603:G603"/>
    <mergeCell ref="A604:G604"/>
    <mergeCell ref="A612:G612"/>
    <mergeCell ref="A613:G613"/>
    <mergeCell ref="A614:B619"/>
    <mergeCell ref="C614:F614"/>
    <mergeCell ref="C615:F615"/>
    <mergeCell ref="C616:F616"/>
    <mergeCell ref="C617:F617"/>
    <mergeCell ref="A580:F580"/>
    <mergeCell ref="B582:G582"/>
    <mergeCell ref="A583:G583"/>
    <mergeCell ref="A584:G584"/>
    <mergeCell ref="A586:G586"/>
    <mergeCell ref="A593:G593"/>
    <mergeCell ref="A573:G573"/>
    <mergeCell ref="A574:B579"/>
    <mergeCell ref="C574:F574"/>
    <mergeCell ref="C575:F575"/>
    <mergeCell ref="C576:F576"/>
    <mergeCell ref="C577:F577"/>
    <mergeCell ref="C578:F578"/>
    <mergeCell ref="C579:F579"/>
    <mergeCell ref="A560:G560"/>
    <mergeCell ref="A563:G563"/>
    <mergeCell ref="A564:G564"/>
    <mergeCell ref="A567:G567"/>
    <mergeCell ref="A568:G568"/>
    <mergeCell ref="A572:G572"/>
    <mergeCell ref="C552:F552"/>
    <mergeCell ref="C553:F553"/>
    <mergeCell ref="A554:F554"/>
    <mergeCell ref="B556:G556"/>
    <mergeCell ref="A557:G557"/>
    <mergeCell ref="A558:G558"/>
    <mergeCell ref="A524:G524"/>
    <mergeCell ref="A535:G535"/>
    <mergeCell ref="A536:G536"/>
    <mergeCell ref="A546:G546"/>
    <mergeCell ref="A547:G547"/>
    <mergeCell ref="A548:B553"/>
    <mergeCell ref="C548:F548"/>
    <mergeCell ref="C549:F549"/>
    <mergeCell ref="C550:F550"/>
    <mergeCell ref="C551:F551"/>
    <mergeCell ref="A508:F508"/>
    <mergeCell ref="B510:G510"/>
    <mergeCell ref="A511:G511"/>
    <mergeCell ref="A512:G512"/>
    <mergeCell ref="A514:G514"/>
    <mergeCell ref="A523:G523"/>
    <mergeCell ref="A497:G497"/>
    <mergeCell ref="A502:G502"/>
    <mergeCell ref="A503:G503"/>
    <mergeCell ref="A504:B507"/>
    <mergeCell ref="C504:F504"/>
    <mergeCell ref="C505:F505"/>
    <mergeCell ref="C506:F506"/>
    <mergeCell ref="C507:F507"/>
    <mergeCell ref="A480:F480"/>
    <mergeCell ref="B482:G482"/>
    <mergeCell ref="A483:G483"/>
    <mergeCell ref="A484:G484"/>
    <mergeCell ref="A486:G486"/>
    <mergeCell ref="A496:G496"/>
    <mergeCell ref="A469:G469"/>
    <mergeCell ref="A474:G474"/>
    <mergeCell ref="A475:G475"/>
    <mergeCell ref="A476:B479"/>
    <mergeCell ref="C476:F476"/>
    <mergeCell ref="C477:F477"/>
    <mergeCell ref="C478:F478"/>
    <mergeCell ref="C479:F479"/>
    <mergeCell ref="A452:F452"/>
    <mergeCell ref="B454:G454"/>
    <mergeCell ref="A455:G455"/>
    <mergeCell ref="A456:G456"/>
    <mergeCell ref="A458:G458"/>
    <mergeCell ref="A468:G468"/>
    <mergeCell ref="A446:B451"/>
    <mergeCell ref="C446:F446"/>
    <mergeCell ref="C447:F447"/>
    <mergeCell ref="C448:F448"/>
    <mergeCell ref="C449:F449"/>
    <mergeCell ref="C450:F450"/>
    <mergeCell ref="C451:F451"/>
    <mergeCell ref="A419:G419"/>
    <mergeCell ref="A420:G420"/>
    <mergeCell ref="A433:G433"/>
    <mergeCell ref="A434:G434"/>
    <mergeCell ref="A652:B652"/>
    <mergeCell ref="E652:G664"/>
    <mergeCell ref="A653:B653"/>
    <mergeCell ref="A654:B654"/>
    <mergeCell ref="A655:B655"/>
    <mergeCell ref="A656:B656"/>
    <mergeCell ref="A657:B657"/>
    <mergeCell ref="A444:G444"/>
    <mergeCell ref="A445:G445"/>
    <mergeCell ref="A404:F404"/>
    <mergeCell ref="A405:G405"/>
    <mergeCell ref="B406:G406"/>
    <mergeCell ref="A407:G407"/>
    <mergeCell ref="A408:G408"/>
    <mergeCell ref="A410:G410"/>
    <mergeCell ref="A397:G397"/>
    <mergeCell ref="A398:B403"/>
    <mergeCell ref="C398:F398"/>
    <mergeCell ref="C399:F399"/>
    <mergeCell ref="C400:F400"/>
    <mergeCell ref="C401:F401"/>
    <mergeCell ref="C402:F402"/>
    <mergeCell ref="C403:F403"/>
    <mergeCell ref="A362:G362"/>
    <mergeCell ref="A371:G371"/>
    <mergeCell ref="A386:G386"/>
    <mergeCell ref="A396:G396"/>
    <mergeCell ref="B345:G345"/>
    <mergeCell ref="B346:G346"/>
    <mergeCell ref="A347:G347"/>
    <mergeCell ref="A348:G348"/>
    <mergeCell ref="A349:G349"/>
    <mergeCell ref="E360:F360"/>
    <mergeCell ref="B336:G336"/>
    <mergeCell ref="A337:G337"/>
    <mergeCell ref="A338:G338"/>
    <mergeCell ref="F339:G339"/>
    <mergeCell ref="F340:G342"/>
    <mergeCell ref="A343:D343"/>
    <mergeCell ref="A328:D328"/>
    <mergeCell ref="B330:G330"/>
    <mergeCell ref="A331:G331"/>
    <mergeCell ref="A332:G332"/>
    <mergeCell ref="E333:G333"/>
    <mergeCell ref="E334:G334"/>
    <mergeCell ref="A318:F318"/>
    <mergeCell ref="B320:G320"/>
    <mergeCell ref="A321:G321"/>
    <mergeCell ref="A322:G322"/>
    <mergeCell ref="F323:G323"/>
    <mergeCell ref="F324:G327"/>
    <mergeCell ref="A311:F311"/>
    <mergeCell ref="B313:G313"/>
    <mergeCell ref="A314:G314"/>
    <mergeCell ref="A315:G315"/>
    <mergeCell ref="F316:G316"/>
    <mergeCell ref="F317:G317"/>
    <mergeCell ref="A304:F304"/>
    <mergeCell ref="B306:G306"/>
    <mergeCell ref="A307:G307"/>
    <mergeCell ref="A308:G308"/>
    <mergeCell ref="F309:G309"/>
    <mergeCell ref="F310:G310"/>
    <mergeCell ref="A297:F297"/>
    <mergeCell ref="B299:G299"/>
    <mergeCell ref="A300:G300"/>
    <mergeCell ref="A301:G301"/>
    <mergeCell ref="F302:G302"/>
    <mergeCell ref="F303:G303"/>
    <mergeCell ref="A290:F290"/>
    <mergeCell ref="B292:G292"/>
    <mergeCell ref="A293:G293"/>
    <mergeCell ref="A294:G294"/>
    <mergeCell ref="F295:G295"/>
    <mergeCell ref="F296:G296"/>
    <mergeCell ref="A283:F283"/>
    <mergeCell ref="B285:G285"/>
    <mergeCell ref="A286:G286"/>
    <mergeCell ref="A287:G287"/>
    <mergeCell ref="F288:G288"/>
    <mergeCell ref="F289:G289"/>
    <mergeCell ref="A276:F276"/>
    <mergeCell ref="B278:G278"/>
    <mergeCell ref="A279:G279"/>
    <mergeCell ref="A280:G280"/>
    <mergeCell ref="F281:G281"/>
    <mergeCell ref="F282:G282"/>
    <mergeCell ref="A270:G270"/>
    <mergeCell ref="B271:G271"/>
    <mergeCell ref="A272:G272"/>
    <mergeCell ref="A273:G273"/>
    <mergeCell ref="F274:G274"/>
    <mergeCell ref="F275:G275"/>
    <mergeCell ref="B264:G264"/>
    <mergeCell ref="A265:G265"/>
  </mergeCells>
  <printOptions/>
  <pageMargins bottom="0.787401575" footer="0.0" header="0.0" left="0.511811024" right="0.511811024" top="0.7874015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6.0"/>
    <col customWidth="1" min="2" max="2" width="10.43"/>
    <col customWidth="1" min="3" max="11" width="8.71"/>
  </cols>
  <sheetData>
    <row r="1" ht="14.25" customHeight="1">
      <c r="A1" s="1346" t="s">
        <v>2351</v>
      </c>
      <c r="B1" s="28"/>
      <c r="C1" s="29"/>
    </row>
    <row r="2" ht="14.25" customHeight="1">
      <c r="A2" s="1348" t="s">
        <v>1700</v>
      </c>
      <c r="B2" s="29"/>
      <c r="C2" s="1349" t="s">
        <v>1701</v>
      </c>
    </row>
    <row r="3" ht="14.25" customHeight="1">
      <c r="A3" s="1350" t="s">
        <v>2352</v>
      </c>
      <c r="B3" s="1351">
        <v>76.65</v>
      </c>
      <c r="C3" s="1352" t="s">
        <v>1709</v>
      </c>
    </row>
    <row r="4" ht="14.25" customHeight="1">
      <c r="A4" s="1350" t="s">
        <v>2353</v>
      </c>
      <c r="B4" s="1351" t="str">
        <f>191.6*2.08</f>
        <v>398.53</v>
      </c>
      <c r="C4" s="1641" t="s">
        <v>1709</v>
      </c>
    </row>
    <row r="5" ht="14.25" customHeight="1">
      <c r="A5" s="1353" t="s">
        <v>1704</v>
      </c>
      <c r="B5" s="1354" t="str">
        <f>(B23/0.15)*0.55</f>
        <v>25.41</v>
      </c>
      <c r="C5" s="1355" t="s">
        <v>1703</v>
      </c>
    </row>
    <row r="6" ht="14.25" customHeight="1">
      <c r="A6" s="1350" t="s">
        <v>1706</v>
      </c>
      <c r="B6" s="1351" t="str">
        <f>B5-B23</f>
        <v>18.48</v>
      </c>
      <c r="C6" s="1355" t="s">
        <v>1703</v>
      </c>
    </row>
    <row r="7" ht="14.25" customHeight="1">
      <c r="A7" s="1350" t="s">
        <v>1707</v>
      </c>
      <c r="B7" s="1351" t="str">
        <f>B12+B17+B23</f>
        <v>19.95</v>
      </c>
      <c r="C7" s="1355" t="s">
        <v>1703</v>
      </c>
    </row>
    <row r="8" ht="14.25" customHeight="1">
      <c r="A8" s="1353" t="s">
        <v>1710</v>
      </c>
      <c r="B8" s="1354" t="str">
        <f>B5/0.5</f>
        <v>50.82</v>
      </c>
      <c r="C8" s="1355" t="s">
        <v>1709</v>
      </c>
    </row>
    <row r="9" ht="14.25" customHeight="1">
      <c r="A9" s="1356" t="s">
        <v>1711</v>
      </c>
      <c r="B9" s="1357" t="str">
        <f>191.6*(0.3+0.15+0.3)</f>
        <v>143.70</v>
      </c>
      <c r="C9" s="1358" t="s">
        <v>1709</v>
      </c>
    </row>
    <row r="10" ht="14.25" customHeight="1">
      <c r="A10" s="1348" t="s">
        <v>2354</v>
      </c>
      <c r="B10" s="29"/>
      <c r="C10" s="1359" t="s">
        <v>1701</v>
      </c>
    </row>
    <row r="11" ht="14.25" customHeight="1">
      <c r="A11" s="1360" t="s">
        <v>1719</v>
      </c>
      <c r="B11" s="1351">
        <v>113.19</v>
      </c>
      <c r="C11" s="1352" t="s">
        <v>1709</v>
      </c>
    </row>
    <row r="12" ht="14.25" customHeight="1">
      <c r="A12" s="1361" t="s">
        <v>1713</v>
      </c>
      <c r="B12" s="1354">
        <v>9.63</v>
      </c>
      <c r="C12" s="1355" t="s">
        <v>1703</v>
      </c>
    </row>
    <row r="13" ht="14.25" customHeight="1">
      <c r="A13" s="1361" t="s">
        <v>1714</v>
      </c>
      <c r="B13" s="1354" t="str">
        <f>B12</f>
        <v>9.63</v>
      </c>
      <c r="C13" s="1355" t="s">
        <v>1703</v>
      </c>
    </row>
    <row r="14" ht="14.25" customHeight="1">
      <c r="A14" s="1361" t="s">
        <v>1715</v>
      </c>
      <c r="B14" s="1354">
        <v>158.02</v>
      </c>
      <c r="C14" s="1355" t="s">
        <v>1443</v>
      </c>
    </row>
    <row r="15" ht="14.25" customHeight="1">
      <c r="A15" s="1348" t="s">
        <v>828</v>
      </c>
      <c r="B15" s="29"/>
      <c r="C15" s="1359" t="s">
        <v>1701</v>
      </c>
    </row>
    <row r="16" ht="14.25" customHeight="1">
      <c r="A16" s="1360" t="s">
        <v>2355</v>
      </c>
      <c r="B16" s="1351" t="str">
        <f>1.4*77</f>
        <v>107.80</v>
      </c>
      <c r="C16" s="1352" t="s">
        <v>2356</v>
      </c>
    </row>
    <row r="17" ht="14.25" customHeight="1">
      <c r="A17" s="1361" t="s">
        <v>1713</v>
      </c>
      <c r="B17" s="1354">
        <v>3.39</v>
      </c>
      <c r="C17" s="1355" t="s">
        <v>1703</v>
      </c>
    </row>
    <row r="18" ht="14.25" customHeight="1">
      <c r="A18" s="1361" t="s">
        <v>1714</v>
      </c>
      <c r="B18" s="1354" t="str">
        <f>B17</f>
        <v>3.39</v>
      </c>
      <c r="C18" s="1355" t="s">
        <v>1703</v>
      </c>
    </row>
    <row r="19" ht="14.25" customHeight="1">
      <c r="A19" s="1361" t="s">
        <v>1715</v>
      </c>
      <c r="B19" s="1354">
        <v>81.78</v>
      </c>
      <c r="C19" s="1355" t="s">
        <v>1443</v>
      </c>
    </row>
    <row r="20" ht="14.25" customHeight="1">
      <c r="A20" s="1361" t="s">
        <v>1716</v>
      </c>
      <c r="B20" s="1354">
        <v>405.5</v>
      </c>
      <c r="C20" s="1355" t="s">
        <v>1443</v>
      </c>
    </row>
    <row r="21" ht="15.0" customHeight="1">
      <c r="A21" s="1348" t="s">
        <v>98</v>
      </c>
      <c r="B21" s="29"/>
      <c r="C21" s="1359" t="s">
        <v>1701</v>
      </c>
    </row>
    <row r="22" ht="14.25" customHeight="1">
      <c r="A22" s="1364" t="s">
        <v>1719</v>
      </c>
      <c r="B22" s="1351">
        <v>115.5</v>
      </c>
      <c r="C22" s="1352" t="s">
        <v>1709</v>
      </c>
    </row>
    <row r="23" ht="14.25" customHeight="1">
      <c r="A23" s="1365" t="s">
        <v>1713</v>
      </c>
      <c r="B23" s="1354">
        <v>6.93</v>
      </c>
      <c r="C23" s="1355" t="s">
        <v>1703</v>
      </c>
    </row>
    <row r="24" ht="14.25" customHeight="1">
      <c r="A24" s="1365" t="s">
        <v>1714</v>
      </c>
      <c r="B24" s="1354" t="str">
        <f>B23</f>
        <v>6.93</v>
      </c>
      <c r="C24" s="1355" t="s">
        <v>1703</v>
      </c>
    </row>
    <row r="25" ht="14.25" customHeight="1">
      <c r="A25" s="1365" t="s">
        <v>1715</v>
      </c>
      <c r="B25" s="1354">
        <v>238.7</v>
      </c>
      <c r="C25" s="1355" t="s">
        <v>1443</v>
      </c>
    </row>
    <row r="26" ht="14.25" customHeight="1">
      <c r="A26" s="1365" t="s">
        <v>1716</v>
      </c>
      <c r="B26" s="1354">
        <v>477.4</v>
      </c>
      <c r="C26" s="1355" t="s">
        <v>1443</v>
      </c>
    </row>
    <row r="27" ht="15.0" customHeight="1">
      <c r="A27" s="1348" t="s">
        <v>154</v>
      </c>
      <c r="B27" s="29"/>
      <c r="C27" s="1367" t="s">
        <v>1701</v>
      </c>
    </row>
    <row r="28" ht="14.25" customHeight="1">
      <c r="A28" s="1364" t="s">
        <v>1719</v>
      </c>
      <c r="B28" s="1369">
        <v>173.25</v>
      </c>
      <c r="C28" s="1352" t="s">
        <v>1709</v>
      </c>
    </row>
    <row r="29" ht="14.25" customHeight="1">
      <c r="A29" s="1365" t="s">
        <v>1713</v>
      </c>
      <c r="B29" s="1368">
        <v>9.24</v>
      </c>
      <c r="C29" s="1355" t="s">
        <v>1703</v>
      </c>
    </row>
    <row r="30" ht="14.25" customHeight="1">
      <c r="A30" s="1365" t="s">
        <v>1714</v>
      </c>
      <c r="B30" s="1368" t="str">
        <f>B29</f>
        <v>9.24</v>
      </c>
      <c r="C30" s="1355" t="s">
        <v>1703</v>
      </c>
    </row>
    <row r="31" ht="14.25" customHeight="1">
      <c r="A31" s="1365" t="s">
        <v>1715</v>
      </c>
      <c r="B31" s="1354">
        <v>200.2</v>
      </c>
      <c r="C31" s="1355" t="s">
        <v>1443</v>
      </c>
    </row>
    <row r="32" ht="14.25" customHeight="1">
      <c r="A32" s="1365" t="s">
        <v>1716</v>
      </c>
      <c r="B32" s="1354">
        <v>469.7</v>
      </c>
      <c r="C32" s="1362" t="s">
        <v>1443</v>
      </c>
    </row>
    <row r="33" ht="44.25" customHeight="1">
      <c r="A33" s="813" t="s">
        <v>1732</v>
      </c>
      <c r="B33" s="621" t="s">
        <v>1733</v>
      </c>
      <c r="C33" s="29"/>
      <c r="D33" s="750"/>
      <c r="E33" s="750"/>
      <c r="F33" s="750"/>
    </row>
    <row r="34" ht="14.25" customHeight="1"/>
    <row r="35" ht="15.75" customHeight="1">
      <c r="A35" s="131"/>
      <c r="B35" s="131"/>
    </row>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7">
    <mergeCell ref="B33:C33"/>
    <mergeCell ref="A27:B27"/>
    <mergeCell ref="A1:C1"/>
    <mergeCell ref="A2:B2"/>
    <mergeCell ref="A10:B10"/>
    <mergeCell ref="A15:B15"/>
    <mergeCell ref="A21:B21"/>
  </mergeCells>
  <printOptions horizontalCentered="1"/>
  <pageMargins bottom="0.7874015748031497" footer="0.0" header="0.0" left="0.5118110236220472" right="0.5118110236220472" top="0.7874015748031497"/>
  <pageSetup paperSize="9" scale="85"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43"/>
    <col customWidth="1" min="2" max="2" width="8.71"/>
    <col customWidth="1" min="3" max="3" width="48.57"/>
    <col customWidth="1" min="4" max="4" width="57.57"/>
    <col customWidth="1" min="5" max="5" width="5.29"/>
    <col customWidth="1" min="6" max="6" width="8.57"/>
    <col customWidth="1" min="7" max="7" width="8.71"/>
    <col customWidth="1" min="8" max="8" width="12.57"/>
    <col customWidth="1" min="9" max="11" width="8.71"/>
  </cols>
  <sheetData>
    <row r="1" ht="14.25" customHeight="1">
      <c r="A1" s="1642" t="s">
        <v>21</v>
      </c>
      <c r="B1" s="1643" t="s">
        <v>2357</v>
      </c>
      <c r="C1" s="1644"/>
      <c r="D1" s="1643"/>
      <c r="E1" s="1643"/>
      <c r="F1" s="1645"/>
    </row>
    <row r="2" ht="14.25" customHeight="1">
      <c r="A2" s="1646" t="s">
        <v>26</v>
      </c>
      <c r="B2" s="1647" t="s">
        <v>2358</v>
      </c>
      <c r="C2" s="1648"/>
      <c r="D2" s="1647"/>
      <c r="E2" s="1647"/>
      <c r="F2" s="1649"/>
    </row>
    <row r="3" ht="14.25" customHeight="1">
      <c r="A3" s="1650" t="s">
        <v>23</v>
      </c>
      <c r="B3" s="1651" t="s">
        <v>2359</v>
      </c>
      <c r="C3" s="1652"/>
      <c r="D3" s="1651"/>
      <c r="E3" s="1651"/>
      <c r="F3" s="1653"/>
    </row>
    <row r="4" ht="21.0" customHeight="1">
      <c r="A4" s="1654" t="s">
        <v>2360</v>
      </c>
      <c r="B4" s="764"/>
      <c r="C4" s="764"/>
      <c r="D4" s="764"/>
      <c r="E4" s="764"/>
      <c r="F4" s="1655"/>
    </row>
    <row r="5" ht="14.25" customHeight="1">
      <c r="A5" s="1656" t="s">
        <v>2361</v>
      </c>
      <c r="B5" s="1657"/>
      <c r="C5" s="1658" t="s">
        <v>36</v>
      </c>
      <c r="D5" s="1656" t="s">
        <v>2362</v>
      </c>
      <c r="E5" s="1659" t="s">
        <v>2363</v>
      </c>
      <c r="F5" s="1660" t="s">
        <v>2364</v>
      </c>
    </row>
    <row r="6" ht="14.25" customHeight="1">
      <c r="A6" s="1361" t="s">
        <v>2365</v>
      </c>
      <c r="B6" s="1661" t="str">
        <f>'[2]Memória de Dimensionamento'!U32</f>
        <v>#REF!</v>
      </c>
      <c r="C6" s="1662" t="s">
        <v>2366</v>
      </c>
      <c r="D6" s="1361" t="s">
        <v>2367</v>
      </c>
      <c r="E6" s="1663" t="s">
        <v>58</v>
      </c>
      <c r="F6" s="1664" t="str">
        <f>Lb*Cb*Pt</f>
        <v>#REF!</v>
      </c>
    </row>
    <row r="7" ht="14.25" customHeight="1">
      <c r="A7" s="1361" t="s">
        <v>2368</v>
      </c>
      <c r="B7" s="1661" t="str">
        <f>ETE+0.3</f>
        <v>#REF!</v>
      </c>
      <c r="C7" s="1662" t="s">
        <v>2369</v>
      </c>
      <c r="D7" s="1361" t="s">
        <v>2370</v>
      </c>
      <c r="E7" s="1663" t="s">
        <v>53</v>
      </c>
      <c r="F7" s="1664" t="str">
        <f>Lb*Cb</f>
        <v>#REF!</v>
      </c>
    </row>
    <row r="8" ht="14.25" customHeight="1">
      <c r="A8" s="1361" t="s">
        <v>2371</v>
      </c>
      <c r="B8" s="1661" t="str">
        <f>'[2]Memória de Dimensionamento'!AA32</f>
        <v>#REF!</v>
      </c>
      <c r="C8" s="1662" t="s">
        <v>2372</v>
      </c>
      <c r="D8" s="1361" t="s">
        <v>2370</v>
      </c>
      <c r="E8" s="1663" t="s">
        <v>53</v>
      </c>
      <c r="F8" s="1664" t="str">
        <f>Lb*Cb</f>
        <v>#REF!</v>
      </c>
    </row>
    <row r="9" ht="14.25" customHeight="1">
      <c r="A9" s="1361" t="s">
        <v>2373</v>
      </c>
      <c r="B9" s="1661" t="str">
        <f>'[2]Memória de Dimensionamento'!V60</f>
        <v>#REF!</v>
      </c>
      <c r="C9" s="1662" t="s">
        <v>2374</v>
      </c>
      <c r="D9" s="1361" t="s">
        <v>2370</v>
      </c>
      <c r="E9" s="1663" t="s">
        <v>53</v>
      </c>
      <c r="F9" s="1664" t="str">
        <f>Lb*Cb</f>
        <v>#REF!</v>
      </c>
    </row>
    <row r="10" ht="14.25" customHeight="1">
      <c r="A10" s="1361" t="s">
        <v>2375</v>
      </c>
      <c r="B10" s="1661" t="str">
        <f>CiFo+CiFi+3*0.15</f>
        <v>#REF!</v>
      </c>
      <c r="C10" s="1662" t="s">
        <v>2376</v>
      </c>
      <c r="D10" s="1361" t="s">
        <v>2377</v>
      </c>
      <c r="E10" s="1663" t="s">
        <v>58</v>
      </c>
      <c r="F10" s="1664" t="str">
        <f>(Lb*Cb*Eb)+(Le*ESGOTO*ADELMO)</f>
        <v>#REF!</v>
      </c>
    </row>
    <row r="11" ht="14.25" customHeight="1">
      <c r="A11" s="1361" t="s">
        <v>2378</v>
      </c>
      <c r="B11" s="1661">
        <v>1.6</v>
      </c>
      <c r="C11" s="1662" t="s">
        <v>2379</v>
      </c>
      <c r="D11" s="1361" t="s">
        <v>2380</v>
      </c>
      <c r="E11" s="1663" t="s">
        <v>53</v>
      </c>
      <c r="F11" s="1664" t="str">
        <f>Le*ESGOTO</f>
        <v>#REF!</v>
      </c>
    </row>
    <row r="12" ht="14.25" customHeight="1">
      <c r="A12" s="1361" t="s">
        <v>2381</v>
      </c>
      <c r="B12" s="1661">
        <v>0.1</v>
      </c>
      <c r="C12" s="1662" t="s">
        <v>2382</v>
      </c>
      <c r="D12" s="1361" t="s">
        <v>2383</v>
      </c>
      <c r="E12" s="1663" t="s">
        <v>2384</v>
      </c>
      <c r="F12" s="1664" t="str">
        <f>(Le*ESGOTO*ADELMO)*70</f>
        <v>#REF!</v>
      </c>
    </row>
    <row r="13" ht="14.25" customHeight="1">
      <c r="A13" s="1361" t="s">
        <v>2385</v>
      </c>
      <c r="B13" s="1661" t="str">
        <f>(Le+0.6)</f>
        <v>#REF!</v>
      </c>
      <c r="C13" s="1662" t="s">
        <v>2386</v>
      </c>
      <c r="D13" s="1361" t="s">
        <v>2387</v>
      </c>
      <c r="E13" s="1663" t="s">
        <v>53</v>
      </c>
      <c r="F13" s="1664" t="str">
        <f>((ETE*3)+(ESGOTO*2))*CFO</f>
        <v>#REF!</v>
      </c>
    </row>
    <row r="14" ht="14.25" customHeight="1">
      <c r="A14" s="1361" t="s">
        <v>2388</v>
      </c>
      <c r="B14" s="1661" t="str">
        <f>ESGOTO+0.6</f>
        <v>#REF!</v>
      </c>
      <c r="C14" s="1662" t="s">
        <v>2389</v>
      </c>
      <c r="D14" s="1353" t="s">
        <v>2390</v>
      </c>
      <c r="E14" s="1663" t="s">
        <v>53</v>
      </c>
      <c r="F14" s="1664" t="str">
        <f>(((ETE*4)+(CiFo*2)+(CiFi*2))*CFO)+(ETE*(CiFo+CiFi))+(PI()*KKKKKK*Hch*4)</f>
        <v>#REF!</v>
      </c>
    </row>
    <row r="15" ht="14.25" customHeight="1">
      <c r="A15" s="1361" t="s">
        <v>2391</v>
      </c>
      <c r="B15" s="1661">
        <v>0.1</v>
      </c>
      <c r="C15" s="1662" t="s">
        <v>2392</v>
      </c>
      <c r="D15" s="1361" t="s">
        <v>2393</v>
      </c>
      <c r="E15" s="1663" t="s">
        <v>53</v>
      </c>
      <c r="F15" s="1664" t="str">
        <f>(((PI()*(KKKKKK+0.1)^2)/4)*Hch)*4</f>
        <v>0.616</v>
      </c>
    </row>
    <row r="16" ht="14.25" customHeight="1">
      <c r="A16" s="1361" t="s">
        <v>2394</v>
      </c>
      <c r="B16" s="1661" t="str">
        <f>Le</f>
        <v>#REF!</v>
      </c>
      <c r="C16" s="1662" t="s">
        <v>2395</v>
      </c>
      <c r="D16" s="1361" t="s">
        <v>2396</v>
      </c>
      <c r="E16" s="1663" t="s">
        <v>1096</v>
      </c>
      <c r="F16" s="1664">
        <v>4.0</v>
      </c>
    </row>
    <row r="17" ht="14.25" customHeight="1">
      <c r="A17" s="1361" t="s">
        <v>2397</v>
      </c>
      <c r="B17" s="1661" t="str">
        <f>ESGOTO</f>
        <v>#REF!</v>
      </c>
      <c r="C17" s="1665" t="s">
        <v>2398</v>
      </c>
      <c r="D17" s="1666" t="s">
        <v>2399</v>
      </c>
      <c r="E17" s="1667" t="s">
        <v>58</v>
      </c>
      <c r="F17" s="1668" t="str">
        <f>(Lb*Cb*Pt)-(Lb*Cb*Eb)-(Le*ESGOTO*(CFO+ADELMO))-(((PI()*(KKKKKK+0.2)^2)/4)*4)</f>
        <v>#REF!</v>
      </c>
    </row>
    <row r="18" ht="14.25" customHeight="1">
      <c r="A18" s="1361" t="s">
        <v>2400</v>
      </c>
      <c r="B18" s="1661">
        <v>0.4</v>
      </c>
      <c r="C18" s="1669"/>
      <c r="D18" s="1487"/>
      <c r="E18" s="1488"/>
      <c r="F18" s="1670"/>
    </row>
    <row r="19" ht="14.25" customHeight="1">
      <c r="A19" s="1361" t="s">
        <v>2401</v>
      </c>
      <c r="B19" s="1661">
        <v>0.6</v>
      </c>
      <c r="C19" s="1662" t="s">
        <v>2402</v>
      </c>
      <c r="D19" s="1361" t="s">
        <v>2403</v>
      </c>
      <c r="E19" s="1663" t="s">
        <v>58</v>
      </c>
      <c r="F19" s="1664" t="str">
        <f>F6-F17</f>
        <v>#REF!</v>
      </c>
    </row>
    <row r="20" ht="14.25" customHeight="1">
      <c r="A20" s="1361" t="s">
        <v>2404</v>
      </c>
      <c r="B20" s="1661" t="str">
        <f>Hch+ADELMO+CFO+Eb</f>
        <v>2.20m</v>
      </c>
      <c r="C20" s="1662" t="s">
        <v>2405</v>
      </c>
      <c r="D20" s="1361" t="s">
        <v>2370</v>
      </c>
      <c r="E20" s="1663" t="s">
        <v>53</v>
      </c>
      <c r="F20" s="1664" t="str">
        <f>Lb*Cb</f>
        <v>#REF!</v>
      </c>
      <c r="H20" s="1671" t="s">
        <v>2406</v>
      </c>
    </row>
    <row r="21" ht="14.25" customHeight="1">
      <c r="A21" s="1363" t="s">
        <v>2407</v>
      </c>
      <c r="B21" s="1672">
        <v>0.8</v>
      </c>
      <c r="C21" s="1662" t="s">
        <v>2408</v>
      </c>
      <c r="D21" s="1361" t="s">
        <v>2409</v>
      </c>
      <c r="E21" s="1663" t="s">
        <v>58</v>
      </c>
      <c r="F21" s="1664" t="str">
        <f>0.1*0.1*1.7*3</f>
        <v>0.051</v>
      </c>
    </row>
    <row r="22" ht="14.25" customHeight="1">
      <c r="A22" s="1673"/>
      <c r="B22" s="1674"/>
      <c r="C22" s="1675" t="s">
        <v>2410</v>
      </c>
      <c r="D22" s="1363" t="s">
        <v>2411</v>
      </c>
      <c r="E22" s="1676" t="s">
        <v>58</v>
      </c>
      <c r="F22" s="1677" t="str">
        <f>ETE*CiFi*ACF</f>
        <v>#REF!</v>
      </c>
      <c r="H22" s="1671" t="s">
        <v>2412</v>
      </c>
    </row>
    <row r="23" ht="14.25" customHeight="1">
      <c r="E23" s="1399"/>
      <c r="F23" s="1678"/>
    </row>
    <row r="24" ht="14.25" customHeight="1">
      <c r="A24" s="1679" t="s">
        <v>2413</v>
      </c>
      <c r="B24" s="28"/>
      <c r="C24" s="28"/>
      <c r="D24" s="28"/>
      <c r="E24" s="28"/>
      <c r="F24" s="29"/>
    </row>
    <row r="25" ht="14.25" customHeight="1">
      <c r="A25" s="1680" t="s">
        <v>2361</v>
      </c>
      <c r="B25" s="1681"/>
      <c r="C25" s="1682" t="s">
        <v>36</v>
      </c>
      <c r="D25" s="1683" t="s">
        <v>2362</v>
      </c>
      <c r="E25" s="1684" t="s">
        <v>2363</v>
      </c>
      <c r="F25" s="1685" t="s">
        <v>2364</v>
      </c>
    </row>
    <row r="26" ht="14.25" customHeight="1">
      <c r="A26" s="1686" t="s">
        <v>2414</v>
      </c>
      <c r="B26" s="1687" t="str">
        <f>'[2]Memória de Dimensionamento'!H75</f>
        <v>#REF!</v>
      </c>
      <c r="C26" s="1688" t="s">
        <v>2366</v>
      </c>
      <c r="D26" s="1688" t="s">
        <v>2415</v>
      </c>
      <c r="E26" s="1689" t="s">
        <v>58</v>
      </c>
      <c r="F26" s="1690" t="str">
        <f>((PI()*(DIs+0.2)^2)/4)*Pts</f>
        <v>#REF!</v>
      </c>
    </row>
    <row r="27" ht="14.25" customHeight="1">
      <c r="A27" s="1361" t="s">
        <v>2416</v>
      </c>
      <c r="B27" s="1691" t="str">
        <f>DIs+0.4</f>
        <v>#REF!</v>
      </c>
      <c r="C27" s="1662" t="s">
        <v>2417</v>
      </c>
      <c r="D27" s="1662" t="s">
        <v>2418</v>
      </c>
      <c r="E27" s="1692" t="s">
        <v>53</v>
      </c>
      <c r="F27" s="1693" t="str">
        <f>(((PI()*(DIs+0.2))*(0.2*3)))*2</f>
        <v>#REF!</v>
      </c>
    </row>
    <row r="28" ht="14.25" customHeight="1">
      <c r="A28" s="1361" t="s">
        <v>2419</v>
      </c>
      <c r="B28" s="1691" t="str">
        <f>'[2]Memória de Dimensionamento'!M75</f>
        <v>#REF!</v>
      </c>
      <c r="C28" s="1662" t="s">
        <v>2420</v>
      </c>
      <c r="D28" s="1662" t="s">
        <v>2421</v>
      </c>
      <c r="E28" s="1692" t="s">
        <v>53</v>
      </c>
      <c r="F28" s="1693" t="str">
        <f>(PI()*(DIs+0.4)^2)/4</f>
        <v>#REF!</v>
      </c>
    </row>
    <row r="29" ht="14.25" customHeight="1">
      <c r="A29" s="1353" t="s">
        <v>2422</v>
      </c>
      <c r="B29" s="1691">
        <v>0.1</v>
      </c>
      <c r="C29" s="1662" t="s">
        <v>2423</v>
      </c>
      <c r="D29" s="1694" t="s">
        <v>2424</v>
      </c>
      <c r="E29" s="1692" t="s">
        <v>58</v>
      </c>
      <c r="F29" s="1693" t="str">
        <f>(((PI()*(DIs+0.2))*(0.2*0.2)))*2+(((PI()*(DIs+0.2)^2)/4)*Ets)</f>
        <v>#REF!</v>
      </c>
    </row>
    <row r="30" ht="14.25" customHeight="1">
      <c r="A30" s="1361" t="s">
        <v>2425</v>
      </c>
      <c r="B30" s="1691">
        <v>0.4</v>
      </c>
      <c r="C30" s="1662" t="s">
        <v>2426</v>
      </c>
      <c r="D30" s="1694" t="s">
        <v>2427</v>
      </c>
      <c r="E30" s="1692" t="s">
        <v>1096</v>
      </c>
      <c r="F30" s="1693" t="str">
        <f>ROUNDUP((4466/25)*((PI()*(DIs+0.2)^2)/4)*His,0)</f>
        <v>#REF!</v>
      </c>
    </row>
    <row r="31" ht="14.25" customHeight="1">
      <c r="A31" s="1361" t="s">
        <v>2428</v>
      </c>
      <c r="B31" s="1691">
        <v>0.6</v>
      </c>
      <c r="C31" s="1662" t="s">
        <v>2429</v>
      </c>
      <c r="D31" s="1694" t="s">
        <v>2430</v>
      </c>
      <c r="E31" s="1692" t="s">
        <v>58</v>
      </c>
      <c r="F31" s="1693" t="str">
        <f>(1.72/4466)*F30</f>
        <v>#REF!</v>
      </c>
    </row>
    <row r="32" ht="14.25" customHeight="1">
      <c r="A32" s="1353" t="s">
        <v>2431</v>
      </c>
      <c r="B32" s="1691" t="str">
        <f>His+Ets+Hcs</f>
        <v>#REF!</v>
      </c>
      <c r="C32" s="1662" t="s">
        <v>2382</v>
      </c>
      <c r="D32" s="1694" t="s">
        <v>2432</v>
      </c>
      <c r="E32" s="1692" t="s">
        <v>2384</v>
      </c>
      <c r="F32" s="1693" t="str">
        <f>(((PI()*(DIs+0.4)^2)/4)*Ets)*70</f>
        <v>#REF!</v>
      </c>
    </row>
    <row r="33" ht="14.25" customHeight="1">
      <c r="A33" s="1361"/>
      <c r="B33" s="1695"/>
      <c r="C33" s="1662" t="s">
        <v>2389</v>
      </c>
      <c r="D33" s="1662" t="s">
        <v>2433</v>
      </c>
      <c r="E33" s="1692" t="s">
        <v>53</v>
      </c>
      <c r="F33" s="1693" t="str">
        <f>(PI()*Dcs*Hcs)</f>
        <v>0.754</v>
      </c>
    </row>
    <row r="34" ht="14.25" customHeight="1">
      <c r="A34" s="1361" t="s">
        <v>2434</v>
      </c>
      <c r="B34" s="1695"/>
      <c r="C34" s="1662" t="s">
        <v>2392</v>
      </c>
      <c r="D34" s="1662" t="s">
        <v>2435</v>
      </c>
      <c r="E34" s="1692" t="s">
        <v>53</v>
      </c>
      <c r="F34" s="1693" t="str">
        <f>(PI()*(Dcs+0.1)*Hcs)</f>
        <v>0.880</v>
      </c>
    </row>
    <row r="35" ht="14.25" customHeight="1">
      <c r="A35" s="1361" t="s">
        <v>2436</v>
      </c>
      <c r="B35" s="1695"/>
      <c r="C35" s="1662" t="s">
        <v>2437</v>
      </c>
      <c r="D35" s="1662" t="s">
        <v>2438</v>
      </c>
      <c r="E35" s="1692" t="s">
        <v>1096</v>
      </c>
      <c r="F35" s="1693">
        <v>1.0</v>
      </c>
    </row>
    <row r="36" ht="14.25" customHeight="1">
      <c r="A36" s="1361" t="s">
        <v>2439</v>
      </c>
      <c r="B36" s="1695"/>
      <c r="C36" s="1662" t="s">
        <v>2440</v>
      </c>
      <c r="D36" s="1694" t="s">
        <v>2441</v>
      </c>
      <c r="E36" s="1692" t="s">
        <v>924</v>
      </c>
      <c r="F36" s="1693" t="str">
        <f>(64.587/4466)*F30</f>
        <v>#REF!</v>
      </c>
    </row>
    <row r="37" ht="14.25" customHeight="1">
      <c r="A37" s="1361"/>
      <c r="B37" s="1696"/>
      <c r="C37" s="1662" t="s">
        <v>2442</v>
      </c>
      <c r="D37" s="1694" t="s">
        <v>2441</v>
      </c>
      <c r="E37" s="1692" t="s">
        <v>924</v>
      </c>
      <c r="F37" s="1693" t="str">
        <f>(64.587/4466)*F30</f>
        <v>#REF!</v>
      </c>
    </row>
    <row r="38" ht="14.25" customHeight="1">
      <c r="A38" s="1363"/>
      <c r="B38" s="1677"/>
      <c r="C38" s="1675" t="s">
        <v>2443</v>
      </c>
      <c r="D38" s="1697" t="s">
        <v>2444</v>
      </c>
      <c r="E38" s="1698" t="s">
        <v>58</v>
      </c>
      <c r="F38" s="1699" t="str">
        <f>((PI()*DIs^2)/4)*0.3</f>
        <v>#REF!</v>
      </c>
    </row>
    <row r="39" ht="44.25" customHeight="1">
      <c r="A39" s="1700"/>
      <c r="B39" s="1701"/>
      <c r="C39" s="1702" t="s">
        <v>2445</v>
      </c>
      <c r="D39" s="618"/>
      <c r="E39" s="1703" t="s">
        <v>1880</v>
      </c>
      <c r="F39" s="29"/>
      <c r="G39" s="750"/>
      <c r="H39" s="750"/>
      <c r="I39" s="1704"/>
    </row>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8">
    <mergeCell ref="C39:D39"/>
    <mergeCell ref="E39:F39"/>
    <mergeCell ref="A24:F24"/>
    <mergeCell ref="A4:F4"/>
    <mergeCell ref="C17:C18"/>
    <mergeCell ref="D17:D18"/>
    <mergeCell ref="E17:E18"/>
    <mergeCell ref="F17:F18"/>
  </mergeCells>
  <printOptions horizontalCentered="1"/>
  <pageMargins bottom="0.7874015748031497" footer="0.0" header="0.0" left="0.984251968503937" right="0.7874015748031497" top="0.984251968503937"/>
  <pageSetup paperSize="9" scale="65"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7.29"/>
    <col customWidth="1" min="2" max="2" width="21.29"/>
    <col customWidth="1" min="3" max="3" width="6.14"/>
    <col customWidth="1" min="4" max="4" width="8.57"/>
    <col customWidth="1" min="5" max="5" width="8.71"/>
    <col customWidth="1" min="6" max="6" width="60.43"/>
    <col customWidth="1" min="7" max="11" width="8.71"/>
  </cols>
  <sheetData>
    <row r="1" ht="16.5" customHeight="1">
      <c r="A1" s="1705" t="s">
        <v>2446</v>
      </c>
      <c r="B1" s="1706"/>
      <c r="C1" s="144"/>
      <c r="D1" s="1140"/>
    </row>
    <row r="2" ht="15.0" customHeight="1">
      <c r="A2" s="1707" t="s">
        <v>2447</v>
      </c>
      <c r="B2" s="1708" t="s">
        <v>2448</v>
      </c>
      <c r="C2" s="323"/>
      <c r="D2" s="323"/>
    </row>
    <row r="3" ht="16.5" customHeight="1">
      <c r="A3" s="1381" t="s">
        <v>2449</v>
      </c>
      <c r="B3" s="1709">
        <v>2.0</v>
      </c>
      <c r="C3" s="323"/>
      <c r="D3" s="332"/>
    </row>
    <row r="4" ht="14.25" customHeight="1">
      <c r="A4" s="1381" t="s">
        <v>2450</v>
      </c>
      <c r="B4" s="1709">
        <v>1.0</v>
      </c>
      <c r="C4" s="323"/>
      <c r="D4" s="1710"/>
    </row>
    <row r="5" ht="14.25" customHeight="1">
      <c r="A5" s="1381" t="s">
        <v>2451</v>
      </c>
      <c r="B5" s="1709">
        <v>1.0</v>
      </c>
      <c r="C5" s="323"/>
      <c r="D5" s="332"/>
    </row>
    <row r="6" ht="14.25" customHeight="1">
      <c r="A6" s="1381" t="s">
        <v>2452</v>
      </c>
      <c r="B6" s="1709">
        <v>1.0</v>
      </c>
      <c r="C6" s="323"/>
      <c r="D6" s="332"/>
    </row>
    <row r="7" ht="14.25" customHeight="1">
      <c r="A7" s="1381" t="s">
        <v>2453</v>
      </c>
      <c r="B7" s="1709">
        <v>2.0</v>
      </c>
      <c r="C7" s="323"/>
      <c r="D7" s="1710"/>
    </row>
    <row r="8" ht="14.25" customHeight="1">
      <c r="A8" s="1381" t="s">
        <v>2454</v>
      </c>
      <c r="B8" s="1709">
        <v>4.0</v>
      </c>
      <c r="C8" s="323"/>
      <c r="D8" s="332"/>
    </row>
    <row r="9" ht="13.5" customHeight="1">
      <c r="A9" s="1711" t="s">
        <v>2455</v>
      </c>
      <c r="B9" s="1712"/>
      <c r="C9" s="1713"/>
      <c r="D9" s="332"/>
    </row>
    <row r="10" ht="14.25" customHeight="1">
      <c r="A10" s="1381" t="s">
        <v>2456</v>
      </c>
      <c r="B10" s="1709">
        <v>1.0</v>
      </c>
      <c r="C10" s="1713"/>
      <c r="D10" s="332"/>
    </row>
    <row r="11" ht="14.25" customHeight="1">
      <c r="A11" s="1381" t="s">
        <v>2457</v>
      </c>
      <c r="B11" s="1709">
        <v>1.0</v>
      </c>
      <c r="C11" s="1713"/>
      <c r="D11" s="332"/>
    </row>
    <row r="12" ht="14.25" customHeight="1">
      <c r="A12" s="1381" t="s">
        <v>2458</v>
      </c>
      <c r="B12" s="1709">
        <v>2.0</v>
      </c>
      <c r="C12" s="1713"/>
      <c r="D12" s="332"/>
    </row>
    <row r="13" ht="14.25" customHeight="1">
      <c r="A13" s="1381" t="s">
        <v>2459</v>
      </c>
      <c r="B13" s="1709">
        <v>2.0</v>
      </c>
      <c r="C13" s="323"/>
      <c r="D13" s="332"/>
    </row>
    <row r="14" ht="18.0" customHeight="1">
      <c r="A14" s="1381" t="s">
        <v>2460</v>
      </c>
      <c r="B14" s="1709">
        <v>3.0</v>
      </c>
      <c r="C14" s="323"/>
      <c r="D14" s="332"/>
    </row>
    <row r="15" ht="15.75" customHeight="1">
      <c r="A15" s="1381" t="s">
        <v>2461</v>
      </c>
      <c r="B15" s="1709">
        <v>2.0</v>
      </c>
      <c r="C15" s="323"/>
      <c r="D15" s="332"/>
    </row>
    <row r="16" ht="15.0" customHeight="1">
      <c r="A16" s="1714" t="s">
        <v>2462</v>
      </c>
      <c r="B16" s="1715"/>
      <c r="C16" s="323"/>
      <c r="D16" s="332"/>
    </row>
    <row r="17" ht="14.25" customHeight="1">
      <c r="A17" s="1716" t="s">
        <v>2463</v>
      </c>
      <c r="B17" s="1709">
        <v>4.0</v>
      </c>
      <c r="C17" s="323"/>
      <c r="D17" s="332"/>
    </row>
    <row r="18" ht="15.75" customHeight="1">
      <c r="A18" s="1381" t="s">
        <v>2464</v>
      </c>
      <c r="B18" s="1709">
        <v>6.0</v>
      </c>
      <c r="C18" s="323"/>
      <c r="D18" s="332"/>
    </row>
    <row r="19" ht="15.75" customHeight="1">
      <c r="A19" s="1381" t="s">
        <v>2465</v>
      </c>
      <c r="B19" s="1709">
        <v>2.0</v>
      </c>
      <c r="C19" s="323"/>
      <c r="D19" s="332"/>
    </row>
    <row r="20" ht="17.25" customHeight="1">
      <c r="A20" s="1381" t="s">
        <v>2466</v>
      </c>
      <c r="B20" s="1709">
        <v>4.0</v>
      </c>
      <c r="C20" s="323"/>
      <c r="D20" s="332"/>
    </row>
    <row r="21" ht="16.5" customHeight="1">
      <c r="A21" s="1381" t="s">
        <v>2467</v>
      </c>
      <c r="B21" s="1709">
        <v>2.0</v>
      </c>
      <c r="C21" s="323"/>
      <c r="D21" s="332"/>
    </row>
    <row r="22" ht="16.5" customHeight="1">
      <c r="A22" s="1714" t="s">
        <v>2468</v>
      </c>
      <c r="B22" s="1715"/>
      <c r="C22" s="323"/>
      <c r="D22" s="332"/>
    </row>
    <row r="23" ht="14.25" customHeight="1">
      <c r="A23" s="1381" t="s">
        <v>2469</v>
      </c>
      <c r="B23" s="1709">
        <v>1.0</v>
      </c>
      <c r="C23" s="323"/>
      <c r="D23" s="332"/>
    </row>
    <row r="24" ht="14.25" customHeight="1">
      <c r="A24" s="1381" t="s">
        <v>2470</v>
      </c>
      <c r="B24" s="1709">
        <v>1.0</v>
      </c>
      <c r="C24" s="323"/>
      <c r="D24" s="332"/>
    </row>
    <row r="25" ht="14.25" customHeight="1">
      <c r="A25" s="1717" t="s">
        <v>2471</v>
      </c>
      <c r="B25" s="1718">
        <v>4.0</v>
      </c>
      <c r="C25" s="323"/>
      <c r="D25" s="332"/>
    </row>
    <row r="26" ht="16.5" customHeight="1">
      <c r="A26" s="1381" t="s">
        <v>2472</v>
      </c>
      <c r="B26" s="1709">
        <v>2.0</v>
      </c>
      <c r="C26" s="323"/>
      <c r="D26" s="332"/>
    </row>
    <row r="27" ht="19.5" customHeight="1">
      <c r="A27" s="1714" t="s">
        <v>2473</v>
      </c>
      <c r="B27" s="1715"/>
      <c r="C27" s="323"/>
      <c r="D27" s="332"/>
    </row>
    <row r="28" ht="19.5" customHeight="1">
      <c r="A28" s="1717" t="s">
        <v>2474</v>
      </c>
      <c r="B28" s="1718">
        <v>2.0</v>
      </c>
      <c r="C28" s="323"/>
      <c r="D28" s="332"/>
    </row>
    <row r="29" ht="14.25" customHeight="1">
      <c r="A29" s="1714" t="s">
        <v>2475</v>
      </c>
      <c r="B29" s="1715"/>
      <c r="C29" s="323"/>
      <c r="D29" s="332"/>
    </row>
    <row r="30" ht="14.25" customHeight="1">
      <c r="A30" s="1719" t="s">
        <v>2476</v>
      </c>
      <c r="B30" s="1720"/>
      <c r="C30" s="323"/>
      <c r="D30" s="332"/>
    </row>
    <row r="31" ht="14.25" customHeight="1">
      <c r="A31" s="663" t="s">
        <v>2477</v>
      </c>
      <c r="B31" s="1709">
        <v>1.0</v>
      </c>
      <c r="C31" s="323"/>
      <c r="D31" s="332"/>
    </row>
    <row r="32" ht="14.25" customHeight="1">
      <c r="A32" s="663" t="s">
        <v>2478</v>
      </c>
      <c r="B32" s="1709">
        <v>1.0</v>
      </c>
      <c r="C32" s="323"/>
      <c r="D32" s="332"/>
    </row>
    <row r="33" ht="14.25" customHeight="1">
      <c r="A33" s="691" t="s">
        <v>2479</v>
      </c>
      <c r="B33" s="1709">
        <v>3.0</v>
      </c>
      <c r="C33" s="323"/>
      <c r="D33" s="332"/>
    </row>
    <row r="34" ht="15.75" customHeight="1">
      <c r="A34" s="1719" t="s">
        <v>2480</v>
      </c>
      <c r="B34" s="1721"/>
      <c r="C34" s="323"/>
      <c r="D34" s="332"/>
    </row>
    <row r="35" ht="13.5" customHeight="1">
      <c r="A35" s="1381" t="s">
        <v>2481</v>
      </c>
      <c r="B35" s="1709">
        <v>3.0</v>
      </c>
      <c r="C35" s="323"/>
      <c r="D35" s="332"/>
    </row>
    <row r="36" ht="14.25" customHeight="1">
      <c r="A36" s="1381" t="s">
        <v>2482</v>
      </c>
      <c r="B36" s="1709">
        <v>10.0</v>
      </c>
      <c r="C36" s="323"/>
      <c r="D36" s="332"/>
    </row>
    <row r="37" ht="17.25" customHeight="1">
      <c r="A37" s="1381" t="s">
        <v>2483</v>
      </c>
      <c r="B37" s="1709">
        <v>3.0</v>
      </c>
      <c r="C37" s="323"/>
      <c r="D37" s="332"/>
    </row>
    <row r="38" ht="15.75" customHeight="1">
      <c r="A38" s="1722" t="s">
        <v>2484</v>
      </c>
      <c r="B38" s="1723"/>
      <c r="C38" s="323"/>
      <c r="D38" s="332"/>
    </row>
    <row r="39" ht="14.25" customHeight="1">
      <c r="A39" s="1381" t="s">
        <v>2485</v>
      </c>
      <c r="B39" s="1709">
        <v>20.0</v>
      </c>
      <c r="C39" s="323"/>
      <c r="D39" s="332"/>
    </row>
    <row r="40" ht="16.5" customHeight="1">
      <c r="A40" s="1381" t="s">
        <v>2486</v>
      </c>
      <c r="B40" s="1709">
        <v>5.0</v>
      </c>
      <c r="C40" s="323"/>
      <c r="D40" s="332"/>
    </row>
    <row r="41" ht="14.25" customHeight="1">
      <c r="A41" s="1722" t="s">
        <v>2487</v>
      </c>
      <c r="B41" s="1723"/>
      <c r="C41" s="323"/>
      <c r="D41" s="332"/>
    </row>
    <row r="42" ht="14.25" customHeight="1">
      <c r="A42" s="1381" t="s">
        <v>2488</v>
      </c>
      <c r="B42" s="1709">
        <v>5.0</v>
      </c>
      <c r="C42" s="323"/>
      <c r="D42" s="262"/>
    </row>
    <row r="43" ht="12.75" customHeight="1">
      <c r="A43" s="1381" t="s">
        <v>2489</v>
      </c>
      <c r="B43" s="1709">
        <v>2.0</v>
      </c>
      <c r="C43" s="323"/>
      <c r="D43" s="332"/>
    </row>
    <row r="44" ht="14.25" customHeight="1">
      <c r="A44" s="1722" t="s">
        <v>2490</v>
      </c>
      <c r="B44" s="1724"/>
      <c r="C44" s="323"/>
      <c r="D44" s="332"/>
    </row>
    <row r="45" ht="14.25" customHeight="1">
      <c r="A45" s="1381" t="s">
        <v>2491</v>
      </c>
      <c r="B45" s="1724">
        <v>55.66</v>
      </c>
      <c r="C45" s="323"/>
      <c r="D45" s="332"/>
    </row>
    <row r="46" ht="15.75" customHeight="1">
      <c r="A46" s="1381" t="s">
        <v>2492</v>
      </c>
      <c r="B46" s="1724">
        <v>14.87</v>
      </c>
      <c r="C46" s="323"/>
      <c r="D46" s="332"/>
    </row>
    <row r="47" ht="14.25" customHeight="1">
      <c r="A47" s="1381" t="s">
        <v>2493</v>
      </c>
      <c r="B47" s="1709">
        <v>5.0</v>
      </c>
      <c r="C47" s="323"/>
      <c r="D47" s="332"/>
    </row>
    <row r="48" ht="16.5" customHeight="1">
      <c r="A48" s="1725" t="s">
        <v>2494</v>
      </c>
      <c r="B48" s="1726">
        <v>2.0</v>
      </c>
      <c r="C48" s="323"/>
      <c r="D48" s="332"/>
    </row>
    <row r="49" ht="15.0" customHeight="1">
      <c r="A49" s="1727" t="s">
        <v>2495</v>
      </c>
      <c r="B49" s="1728"/>
      <c r="C49" s="323"/>
      <c r="D49" s="332"/>
    </row>
    <row r="50" ht="16.5" customHeight="1">
      <c r="A50" s="1729" t="s">
        <v>2496</v>
      </c>
      <c r="B50" s="1730">
        <v>1.0</v>
      </c>
      <c r="C50" s="323"/>
      <c r="D50" s="332"/>
    </row>
    <row r="51" ht="15.75" customHeight="1">
      <c r="A51" s="1381" t="s">
        <v>2497</v>
      </c>
      <c r="B51" s="1709">
        <v>9.0</v>
      </c>
      <c r="C51" s="323"/>
      <c r="D51" s="332"/>
    </row>
    <row r="52" ht="14.25" customHeight="1">
      <c r="A52" s="1731" t="s">
        <v>2498</v>
      </c>
      <c r="B52" s="1732"/>
      <c r="C52" s="323"/>
      <c r="D52" s="332"/>
    </row>
    <row r="53" ht="17.25" customHeight="1">
      <c r="A53" s="1385" t="s">
        <v>2499</v>
      </c>
      <c r="B53" s="1733">
        <v>1.0</v>
      </c>
      <c r="C53" s="323"/>
      <c r="D53" s="332"/>
    </row>
    <row r="54" ht="18.0" customHeight="1">
      <c r="A54" s="1734" t="s">
        <v>2500</v>
      </c>
      <c r="B54" s="29"/>
      <c r="C54" s="1713"/>
      <c r="D54" s="332"/>
      <c r="F54" s="204"/>
      <c r="G54" s="204"/>
    </row>
    <row r="55" ht="16.5" customHeight="1">
      <c r="A55" s="1735" t="s">
        <v>2501</v>
      </c>
      <c r="B55" s="1250"/>
      <c r="C55" s="1713"/>
      <c r="D55" s="332"/>
      <c r="G55" s="204"/>
    </row>
    <row r="56" ht="18.0" customHeight="1">
      <c r="A56" s="1736" t="s">
        <v>2502</v>
      </c>
      <c r="B56" s="1737">
        <v>3.0</v>
      </c>
      <c r="C56" s="1713"/>
      <c r="D56" s="332"/>
      <c r="G56" s="204"/>
    </row>
    <row r="57" ht="12.0" customHeight="1">
      <c r="A57" s="1736" t="s">
        <v>2503</v>
      </c>
      <c r="B57" s="1737">
        <v>1.0</v>
      </c>
      <c r="C57" s="1713"/>
      <c r="D57" s="332"/>
      <c r="G57" s="204"/>
    </row>
    <row r="58" ht="17.25" customHeight="1">
      <c r="A58" s="1738" t="s">
        <v>2504</v>
      </c>
      <c r="B58" s="124"/>
      <c r="C58" s="323"/>
      <c r="D58" s="332"/>
      <c r="F58" s="204"/>
      <c r="G58" s="204"/>
    </row>
    <row r="59" ht="14.25" customHeight="1">
      <c r="A59" s="1739" t="s">
        <v>2505</v>
      </c>
      <c r="B59" s="1737">
        <v>7.0</v>
      </c>
      <c r="C59" s="323"/>
      <c r="D59" s="332"/>
      <c r="F59" s="204"/>
      <c r="G59" s="204"/>
    </row>
    <row r="60" ht="15.0" customHeight="1">
      <c r="A60" s="1736" t="s">
        <v>2506</v>
      </c>
      <c r="B60" s="1737">
        <v>4.0</v>
      </c>
      <c r="C60" s="323"/>
      <c r="D60" s="332"/>
      <c r="G60" s="204"/>
    </row>
    <row r="61" ht="15.0" customHeight="1">
      <c r="A61" s="1739" t="s">
        <v>2507</v>
      </c>
      <c r="B61" s="1737">
        <v>7.0</v>
      </c>
      <c r="C61" s="323"/>
      <c r="D61" s="332"/>
      <c r="G61" s="204"/>
    </row>
    <row r="62" ht="14.25" customHeight="1">
      <c r="A62" s="1736" t="s">
        <v>2508</v>
      </c>
      <c r="B62" s="1737">
        <v>7.0</v>
      </c>
      <c r="C62" s="323"/>
      <c r="D62" s="332"/>
      <c r="G62" s="204"/>
    </row>
    <row r="63" ht="15.75" customHeight="1">
      <c r="A63" s="1736" t="s">
        <v>2509</v>
      </c>
      <c r="B63" s="1737">
        <v>2.0</v>
      </c>
      <c r="C63" s="323"/>
      <c r="D63" s="332"/>
      <c r="G63" s="204"/>
    </row>
    <row r="64" ht="14.25" customHeight="1">
      <c r="A64" s="1736" t="s">
        <v>2510</v>
      </c>
      <c r="B64" s="1737">
        <v>7.0</v>
      </c>
      <c r="G64" s="204"/>
    </row>
    <row r="65" ht="14.25" customHeight="1">
      <c r="A65" s="1736" t="s">
        <v>2511</v>
      </c>
      <c r="B65" s="1737">
        <v>7.0</v>
      </c>
      <c r="G65" s="204"/>
    </row>
    <row r="66" ht="14.25" customHeight="1">
      <c r="A66" s="1739" t="s">
        <v>2512</v>
      </c>
      <c r="B66" s="1740"/>
      <c r="G66" s="204"/>
    </row>
    <row r="67" ht="14.25" customHeight="1">
      <c r="A67" s="1736" t="s">
        <v>2513</v>
      </c>
      <c r="B67" s="1737">
        <v>2.0</v>
      </c>
      <c r="G67" s="695"/>
    </row>
    <row r="68" ht="14.25" customHeight="1">
      <c r="A68" s="1736" t="s">
        <v>2514</v>
      </c>
      <c r="B68" s="1737">
        <v>4.0</v>
      </c>
      <c r="G68" s="695"/>
    </row>
    <row r="69" ht="14.25" customHeight="1">
      <c r="A69" s="1736" t="s">
        <v>2515</v>
      </c>
      <c r="B69" s="1737">
        <v>2.0</v>
      </c>
      <c r="G69" s="695"/>
    </row>
    <row r="70" ht="14.25" customHeight="1">
      <c r="A70" s="1739" t="s">
        <v>2516</v>
      </c>
      <c r="B70" s="1737"/>
      <c r="G70" s="695"/>
    </row>
    <row r="71" ht="14.25" customHeight="1">
      <c r="A71" s="1736" t="s">
        <v>2508</v>
      </c>
      <c r="B71" s="1737">
        <v>8.0</v>
      </c>
    </row>
    <row r="72" ht="14.25" customHeight="1">
      <c r="A72" s="1736" t="s">
        <v>2517</v>
      </c>
      <c r="B72" s="1737">
        <v>1.0</v>
      </c>
    </row>
    <row r="73" ht="14.25" customHeight="1">
      <c r="A73" s="1739" t="s">
        <v>2518</v>
      </c>
      <c r="B73" s="1740"/>
    </row>
    <row r="74" ht="14.25" customHeight="1">
      <c r="A74" s="1741" t="s">
        <v>2519</v>
      </c>
      <c r="B74" s="1737" t="s">
        <v>2520</v>
      </c>
    </row>
    <row r="75" ht="14.25" customHeight="1">
      <c r="A75" s="1736" t="s">
        <v>2521</v>
      </c>
      <c r="B75" s="1737" t="s">
        <v>2522</v>
      </c>
    </row>
    <row r="76" ht="14.25" customHeight="1">
      <c r="A76" s="1741" t="s">
        <v>2523</v>
      </c>
      <c r="B76" s="1737" t="s">
        <v>2524</v>
      </c>
    </row>
    <row r="77" ht="14.25" customHeight="1">
      <c r="A77" s="599" t="s">
        <v>2525</v>
      </c>
      <c r="B77" s="1737" t="s">
        <v>2526</v>
      </c>
    </row>
    <row r="78" ht="14.25" customHeight="1">
      <c r="A78" s="1739" t="s">
        <v>2527</v>
      </c>
      <c r="B78" s="1740"/>
    </row>
    <row r="79" ht="14.25" customHeight="1">
      <c r="A79" s="1736" t="s">
        <v>2528</v>
      </c>
      <c r="B79" s="1737">
        <v>2.0</v>
      </c>
    </row>
    <row r="80" ht="14.25" customHeight="1">
      <c r="A80" s="1742" t="s">
        <v>2529</v>
      </c>
      <c r="B80" s="1743">
        <v>5.0</v>
      </c>
    </row>
    <row r="81" ht="14.25" customHeight="1">
      <c r="A81" s="1744" t="s">
        <v>2462</v>
      </c>
      <c r="B81" s="1250"/>
    </row>
    <row r="82" ht="14.25" customHeight="1">
      <c r="A82" s="1745" t="s">
        <v>2530</v>
      </c>
      <c r="B82" s="1746"/>
    </row>
    <row r="83" ht="14.25" customHeight="1">
      <c r="A83" s="1747" t="s">
        <v>2531</v>
      </c>
      <c r="B83" s="1748">
        <v>1.0</v>
      </c>
    </row>
    <row r="84" ht="14.25" customHeight="1">
      <c r="A84" s="1747" t="s">
        <v>2532</v>
      </c>
      <c r="B84" s="1748">
        <v>5.0</v>
      </c>
    </row>
    <row r="85" ht="14.25" customHeight="1">
      <c r="A85" s="1747" t="s">
        <v>2533</v>
      </c>
      <c r="B85" s="1748">
        <v>2.0</v>
      </c>
    </row>
    <row r="86" ht="14.25" customHeight="1">
      <c r="A86" s="1745" t="s">
        <v>2534</v>
      </c>
      <c r="B86" s="1749"/>
    </row>
    <row r="87" ht="14.25" customHeight="1">
      <c r="A87" s="1747" t="s">
        <v>2535</v>
      </c>
      <c r="B87" s="1748">
        <v>7.0</v>
      </c>
    </row>
    <row r="88" ht="14.25" customHeight="1">
      <c r="A88" s="1747" t="s">
        <v>2536</v>
      </c>
      <c r="B88" s="1748">
        <v>1.0</v>
      </c>
    </row>
    <row r="89" ht="14.25" customHeight="1">
      <c r="A89" s="1747" t="s">
        <v>2537</v>
      </c>
      <c r="B89" s="1748">
        <v>7.0</v>
      </c>
    </row>
    <row r="90" ht="14.25" customHeight="1">
      <c r="A90" s="1750" t="s">
        <v>2538</v>
      </c>
      <c r="B90" s="1751">
        <v>1.0</v>
      </c>
    </row>
    <row r="91" ht="5.25" customHeight="1"/>
    <row r="92" ht="37.5" customHeight="1">
      <c r="A92" s="1752" t="s">
        <v>2539</v>
      </c>
      <c r="B92" s="1753" t="s">
        <v>1880</v>
      </c>
      <c r="C92" s="1754"/>
    </row>
    <row r="93" ht="14.25" customHeight="1"/>
    <row r="94" ht="14.25" customHeight="1"/>
    <row r="95" ht="14.25" customHeight="1"/>
    <row r="96" ht="14.25" customHeight="1"/>
    <row r="97" ht="14.25" customHeight="1"/>
    <row r="98" ht="14.25" customHeight="1"/>
    <row r="99" ht="14.25" customHeight="1"/>
    <row r="100" ht="14.25" customHeight="1"/>
  </sheetData>
  <mergeCells count="5">
    <mergeCell ref="A1:B1"/>
    <mergeCell ref="A54:B54"/>
    <mergeCell ref="A55:B55"/>
    <mergeCell ref="A58:B58"/>
    <mergeCell ref="A81:B81"/>
  </mergeCells>
  <printOptions/>
  <pageMargins bottom="0.787401575" footer="0.0" header="0.0" left="0.511811024" right="0.511811024" top="0.7874015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15.86"/>
    <col customWidth="1" min="3" max="3" width="59.14"/>
    <col customWidth="1" min="4" max="4" width="16.43"/>
    <col customWidth="1" min="5" max="6" width="11.29"/>
    <col customWidth="1" min="7" max="7" width="10.57"/>
    <col customWidth="1" min="8" max="8" width="12.0"/>
    <col customWidth="1" min="9" max="9" width="15.0"/>
    <col customWidth="1" min="10" max="11" width="8.71"/>
  </cols>
  <sheetData>
    <row r="1" ht="13.5" customHeight="1">
      <c r="A1" s="76"/>
      <c r="B1" s="76"/>
      <c r="C1" s="77"/>
      <c r="D1" s="78"/>
      <c r="E1" s="78"/>
      <c r="F1" s="76"/>
      <c r="G1" s="76"/>
      <c r="H1" s="79"/>
      <c r="I1" s="76"/>
    </row>
    <row r="2" ht="19.5" customHeight="1">
      <c r="A2" s="76"/>
      <c r="B2" s="76"/>
      <c r="C2" s="5"/>
      <c r="D2" s="80"/>
      <c r="E2" s="80"/>
      <c r="F2" s="80"/>
      <c r="G2" s="80"/>
      <c r="H2" s="76"/>
      <c r="I2" s="76"/>
    </row>
    <row r="3" ht="18.75" customHeight="1">
      <c r="A3" s="81"/>
      <c r="B3" s="6"/>
      <c r="E3" s="81"/>
      <c r="F3" s="80"/>
      <c r="G3" s="80"/>
      <c r="H3" s="76"/>
      <c r="I3" s="76"/>
    </row>
    <row r="4" ht="15.75" customHeight="1">
      <c r="A4" s="81"/>
      <c r="B4" s="82"/>
      <c r="E4" s="81"/>
      <c r="F4" s="83"/>
      <c r="G4" s="83"/>
      <c r="H4" s="76"/>
      <c r="I4" s="76"/>
    </row>
    <row r="5" ht="15.75" customHeight="1">
      <c r="A5" s="78"/>
      <c r="B5" s="78"/>
      <c r="C5" s="84"/>
      <c r="D5" s="85"/>
      <c r="E5" s="85"/>
      <c r="F5" s="85"/>
      <c r="G5" s="85"/>
      <c r="H5" s="76"/>
      <c r="I5" s="76"/>
    </row>
    <row r="6" ht="17.25" customHeight="1">
      <c r="A6" s="78"/>
      <c r="B6" s="78"/>
      <c r="C6" s="86"/>
      <c r="D6" s="85"/>
      <c r="E6" s="85"/>
      <c r="F6" s="85"/>
      <c r="G6" s="85"/>
      <c r="H6" s="76"/>
      <c r="I6" s="76"/>
    </row>
    <row r="7" ht="16.5" customHeight="1">
      <c r="A7" s="78"/>
      <c r="B7" s="78"/>
      <c r="C7" s="86"/>
      <c r="D7" s="85"/>
      <c r="E7" s="85"/>
      <c r="F7" s="85"/>
      <c r="G7" s="85"/>
      <c r="H7" s="76"/>
      <c r="I7" s="76"/>
    </row>
    <row r="8" ht="14.25" customHeight="1">
      <c r="A8" s="87" t="s">
        <v>0</v>
      </c>
      <c r="B8" s="88" t="str">
        <f>'PLANILHA SEM DESON'!B7:C7</f>
        <v>SEMA-PRO-2022/00145</v>
      </c>
      <c r="C8" s="34"/>
      <c r="D8" s="89"/>
      <c r="E8" s="90"/>
    </row>
    <row r="9" ht="30.75" customHeight="1">
      <c r="A9" s="91" t="str">
        <f>'PLANILHA SEM DESON'!A8</f>
        <v>OBRA:</v>
      </c>
      <c r="B9" s="92" t="str">
        <f>'PLANILHA SEM DESON'!B8:C8</f>
        <v>CONSTRUÇÃO DE DIRETORIA DE UNIDADE DESCONCENTRADA DA SEMA - DUDS</v>
      </c>
      <c r="D9" s="93" t="str">
        <f>'PLANILHA SEM DESON'!H10</f>
        <v>Data:</v>
      </c>
      <c r="E9" s="94" t="str">
        <f>'PLANILHA SEM DESON'!I10</f>
        <v>11/30/2022</v>
      </c>
    </row>
    <row r="10" ht="14.25" customHeight="1">
      <c r="A10" s="91" t="str">
        <f>'PLANILHA SEM DESON'!A9</f>
        <v>ENDEREÇO:</v>
      </c>
      <c r="B10" s="95" t="str">
        <f>'PLANILHA SEM DESON'!B9</f>
        <v>Rua Erichin, esquina com Rua Circular - Bairro Residencial Arco Íris</v>
      </c>
      <c r="D10" s="93" t="str">
        <f>'PLANILHA SEM DESON'!H11</f>
        <v>Prazo:</v>
      </c>
      <c r="E10" s="96" t="str">
        <f>'PLANILHA SEM DESON'!I11</f>
        <v>120 dias</v>
      </c>
    </row>
    <row r="11" ht="14.25" customHeight="1">
      <c r="A11" s="91" t="str">
        <f>'PLANILHA SEM DESON'!A10</f>
        <v>MUNICÍPIO:</v>
      </c>
      <c r="B11" s="95" t="str">
        <f>'PLANILHA SEM DESON'!B10:C10</f>
        <v>CONFRESA - MT</v>
      </c>
      <c r="D11" s="93" t="str">
        <f>'PLANILHA SEM DESON'!H9</f>
        <v>BDI:</v>
      </c>
      <c r="E11" s="97" t="str">
        <f>'PLANILHA SEM DESON'!I9</f>
        <v>22.23%</v>
      </c>
    </row>
    <row r="12" ht="15.75" customHeight="1">
      <c r="A12" s="98" t="str">
        <f>'PLANILHA SEM DESON'!A11</f>
        <v>ASSUNTO:</v>
      </c>
      <c r="B12" s="99" t="str">
        <f>'PLANILHA SEM DESON'!B11</f>
        <v>CONSTRUÇÃO </v>
      </c>
      <c r="C12" s="21"/>
      <c r="D12" s="100"/>
      <c r="E12" s="101"/>
    </row>
    <row r="13" ht="3.75" customHeight="1">
      <c r="A13" s="102"/>
      <c r="B13" s="102"/>
      <c r="C13" s="103"/>
      <c r="D13" s="104"/>
      <c r="E13" s="104"/>
    </row>
    <row r="14" ht="14.25" customHeight="1">
      <c r="A14" s="27" t="s">
        <v>15</v>
      </c>
      <c r="B14" s="28"/>
      <c r="C14" s="28"/>
      <c r="D14" s="28"/>
      <c r="E14" s="29"/>
    </row>
    <row r="15" ht="13.5" customHeight="1">
      <c r="A15" s="105" t="s">
        <v>2</v>
      </c>
      <c r="B15" s="106" t="s">
        <v>16</v>
      </c>
      <c r="C15" s="107"/>
      <c r="D15" s="108" t="s">
        <v>17</v>
      </c>
      <c r="E15" s="109" t="s">
        <v>12</v>
      </c>
    </row>
    <row r="16" ht="14.25" customHeight="1">
      <c r="A16" s="110" t="str">
        <f>'PLANILHA SEM DESON'!A14</f>
        <v>001</v>
      </c>
      <c r="B16" s="111" t="str">
        <f>'PLANILHA SEM DESON'!C14</f>
        <v>ADMINISTRAÇÃO LOCAL</v>
      </c>
      <c r="C16" s="39"/>
      <c r="D16" s="112" t="str">
        <f>'PLANILHA SEM DESON'!I16</f>
        <v>80,424.39</v>
      </c>
      <c r="E16" s="113" t="str">
        <f t="shared" ref="E16:E38" si="1">(D16/$D$38)*100</f>
        <v>4.55</v>
      </c>
    </row>
    <row r="17" ht="14.25" customHeight="1">
      <c r="A17" s="110" t="str">
        <f>'PLANILHA SEM DESON'!A17</f>
        <v>002</v>
      </c>
      <c r="B17" s="114" t="str">
        <f>'PLANILHA SEM DESON'!C17</f>
        <v>SERVIÇO PRELIMINARES</v>
      </c>
      <c r="C17" s="41"/>
      <c r="D17" s="112" t="str">
        <f>'PLANILHA SEM DESON'!I32</f>
        <v>140,994.28</v>
      </c>
      <c r="E17" s="113" t="str">
        <f t="shared" si="1"/>
        <v>7.98</v>
      </c>
    </row>
    <row r="18" ht="14.25" customHeight="1">
      <c r="A18" s="110" t="str">
        <f>'PLANILHA SEM DESON'!A33</f>
        <v>003</v>
      </c>
      <c r="B18" s="114" t="str">
        <f>'PLANILHA SEM DESON'!C33</f>
        <v>MOVIMENTO DE TERRA</v>
      </c>
      <c r="C18" s="41"/>
      <c r="D18" s="112" t="str">
        <f>'PLANILHA SEM DESON'!I37</f>
        <v>36,379.26</v>
      </c>
      <c r="E18" s="113" t="str">
        <f t="shared" si="1"/>
        <v>2.06</v>
      </c>
    </row>
    <row r="19" ht="14.25" customHeight="1">
      <c r="A19" s="115" t="str">
        <f>'PLANILHA SEM DESON'!A38</f>
        <v>004</v>
      </c>
      <c r="B19" s="114" t="str">
        <f>'PLANILHA SEM DESON'!C38</f>
        <v>ESTRUTURA EM CONCRETO ARMADO</v>
      </c>
      <c r="C19" s="41"/>
      <c r="D19" s="116" t="str">
        <f>'PLANILHA SEM DESON'!I92</f>
        <v>208,713.45</v>
      </c>
      <c r="E19" s="113" t="str">
        <f t="shared" si="1"/>
        <v>11.81</v>
      </c>
    </row>
    <row r="20" ht="16.5" customHeight="1">
      <c r="A20" s="115" t="str">
        <f>'PLANILHA SEM DESON'!A93</f>
        <v>005</v>
      </c>
      <c r="B20" s="114" t="str">
        <f>'PLANILHA SEM DESON'!C93</f>
        <v>FECHAMENTOS EM ALVENARIA</v>
      </c>
      <c r="C20" s="41"/>
      <c r="D20" s="116" t="str">
        <f>'PLANILHA SEM DESON'!I102</f>
        <v>78,219.26</v>
      </c>
      <c r="E20" s="113" t="str">
        <f t="shared" si="1"/>
        <v>4.43</v>
      </c>
    </row>
    <row r="21" ht="16.5" customHeight="1">
      <c r="A21" s="115" t="str">
        <f>'PLANILHA SEM DESON'!A103</f>
        <v>006</v>
      </c>
      <c r="B21" s="114" t="str">
        <f>'PLANILHA SEM DESON'!C103</f>
        <v>REVESTIMENTO DE PISO</v>
      </c>
      <c r="C21" s="41"/>
      <c r="D21" s="116" t="str">
        <f>'PLANILHA SEM DESON'!I111</f>
        <v>73,363.72</v>
      </c>
      <c r="E21" s="113" t="str">
        <f t="shared" si="1"/>
        <v>4.15</v>
      </c>
    </row>
    <row r="22" ht="16.5" customHeight="1">
      <c r="A22" s="115" t="str">
        <f>'PLANILHA SEM DESON'!A112</f>
        <v>007</v>
      </c>
      <c r="B22" s="114" t="str">
        <f>'PLANILHA SEM DESON'!C112</f>
        <v>REVESTIMENTO DE PAREDE</v>
      </c>
      <c r="C22" s="41"/>
      <c r="D22" s="116" t="str">
        <f>'PLANILHA SEM DESON'!I123</f>
        <v>83,509.96</v>
      </c>
      <c r="E22" s="113" t="str">
        <f t="shared" si="1"/>
        <v>4.73</v>
      </c>
    </row>
    <row r="23" ht="14.25" customHeight="1">
      <c r="A23" s="115" t="str">
        <f>'PLANILHA SEM DESON'!A124</f>
        <v>008</v>
      </c>
      <c r="B23" s="114" t="str">
        <f>'PLANILHA SEM DESON'!C124</f>
        <v>ESQUADRIAS</v>
      </c>
      <c r="C23" s="41"/>
      <c r="D23" s="116" t="str">
        <f>'PLANILHA SEM DESON'!I140</f>
        <v>62,770.30</v>
      </c>
      <c r="E23" s="113" t="str">
        <f t="shared" si="1"/>
        <v>3.55</v>
      </c>
    </row>
    <row r="24" ht="15.75" customHeight="1">
      <c r="A24" s="115" t="str">
        <f>'PLANILHA SEM DESON'!A141</f>
        <v>009</v>
      </c>
      <c r="B24" s="114" t="str">
        <f>'PLANILHA SEM DESON'!C141</f>
        <v>PINTURA</v>
      </c>
      <c r="C24" s="41"/>
      <c r="D24" s="116" t="str">
        <f>'PLANILHA SEM DESON'!I154</f>
        <v>44,172.49</v>
      </c>
      <c r="E24" s="113" t="str">
        <f t="shared" si="1"/>
        <v>2.50</v>
      </c>
    </row>
    <row r="25" ht="15.75" customHeight="1">
      <c r="A25" s="115" t="str">
        <f>'PLANILHA SEM DESON'!A155</f>
        <v>010</v>
      </c>
      <c r="B25" s="114" t="str">
        <f>'PLANILHA SEM DESON'!C155</f>
        <v>COBERTURA </v>
      </c>
      <c r="C25" s="41"/>
      <c r="D25" s="116" t="str">
        <f>'PLANILHA SEM DESON'!I161+'PLANILHA SEM DESON'!I164</f>
        <v>93,720.18</v>
      </c>
      <c r="E25" s="113" t="str">
        <f t="shared" si="1"/>
        <v>5.30</v>
      </c>
    </row>
    <row r="26" ht="14.25" customHeight="1">
      <c r="A26" s="115" t="str">
        <f>'PLANILHA SEM DESON'!A165</f>
        <v>011</v>
      </c>
      <c r="B26" s="114" t="str">
        <f>'PLANILHA SEM DESON'!C165</f>
        <v>INSTALAÇÕES ELÉTRICAS</v>
      </c>
      <c r="C26" s="41"/>
      <c r="D26" s="116" t="str">
        <f>'PLANILHA SEM DESON'!I217</f>
        <v>31,127.07</v>
      </c>
      <c r="E26" s="113" t="str">
        <f t="shared" si="1"/>
        <v>1.76</v>
      </c>
    </row>
    <row r="27" ht="14.25" customHeight="1">
      <c r="A27" s="115" t="str">
        <f>'PLANILHA SEM DESON'!A218</f>
        <v>11.2</v>
      </c>
      <c r="B27" s="114" t="str">
        <f>'PLANILHA SEM DESON'!C218</f>
        <v>CABEAMENTO ESTRUTURADO </v>
      </c>
      <c r="C27" s="41"/>
      <c r="D27" s="116" t="str">
        <f>'PLANILHA SEM DESON'!I247</f>
        <v>22,515.34</v>
      </c>
      <c r="E27" s="113" t="str">
        <f t="shared" si="1"/>
        <v>1.27</v>
      </c>
    </row>
    <row r="28" ht="14.25" customHeight="1">
      <c r="A28" s="115" t="str">
        <f>'PLANILHA SEM DESON'!A248</f>
        <v>012</v>
      </c>
      <c r="B28" s="114" t="str">
        <f>'PLANILHA SEM DESON'!C248</f>
        <v>SPDA</v>
      </c>
      <c r="C28" s="41"/>
      <c r="D28" s="116" t="str">
        <f>'PLANILHA SEM DESON'!I256</f>
        <v>22,381.59</v>
      </c>
      <c r="E28" s="113" t="str">
        <f t="shared" si="1"/>
        <v>1.27</v>
      </c>
    </row>
    <row r="29" ht="14.25" customHeight="1">
      <c r="A29" s="115" t="str">
        <f>'PLANILHA SEM DESON'!A257</f>
        <v>013</v>
      </c>
      <c r="B29" s="114" t="str">
        <f>'PLANILHA SEM DESON'!C257</f>
        <v>INSTALAÇÕES HIDRÁULICAS</v>
      </c>
      <c r="C29" s="41"/>
      <c r="D29" s="116" t="str">
        <f>'PLANILHA SEM DESON'!I288</f>
        <v>15,338.72</v>
      </c>
      <c r="E29" s="113" t="str">
        <f t="shared" si="1"/>
        <v>0.87</v>
      </c>
    </row>
    <row r="30" ht="14.25" customHeight="1">
      <c r="A30" s="115" t="str">
        <f>'PLANILHA SEM DESON'!A289</f>
        <v>014</v>
      </c>
      <c r="B30" s="114" t="str">
        <f>'PLANILHA SEM DESON'!C289</f>
        <v>APARELHOS E METAIS</v>
      </c>
      <c r="C30" s="41"/>
      <c r="D30" s="116" t="str">
        <f>'PLANILHA SEM DESON'!I305</f>
        <v>8,240.14</v>
      </c>
      <c r="E30" s="113" t="str">
        <f t="shared" si="1"/>
        <v>0.47</v>
      </c>
    </row>
    <row r="31" ht="14.25" customHeight="1">
      <c r="A31" s="115" t="str">
        <f>'PLANILHA SEM DESON'!A307</f>
        <v>15.1</v>
      </c>
      <c r="B31" s="114" t="str">
        <f>'PLANILHA SEM DESON'!C307</f>
        <v>SERVIÇOS DE INSTALAÇÕES SANITÁRIAS</v>
      </c>
      <c r="C31" s="41"/>
      <c r="D31" s="116" t="str">
        <f>'PLANILHA SEM DESON'!I334</f>
        <v>6,330.55</v>
      </c>
      <c r="E31" s="113" t="str">
        <f t="shared" si="1"/>
        <v>0.36</v>
      </c>
    </row>
    <row r="32" ht="14.25" customHeight="1">
      <c r="A32" s="115" t="str">
        <f>'PLANILHA SEM DESON'!A336</f>
        <v>15.2.1</v>
      </c>
      <c r="B32" s="114" t="str">
        <f>'PLANILHA SEM DESON'!C336</f>
        <v>SUMIDOURO CIRCULAR, EM ALVENARIA COM TIJOLOS CERÂMICOS MACIÇOS, DIMENSÕES INTERNAS: DIAMETRO 2,84 M, ALTURA 3,00 M, ÁREA DE INFILTRAÇÃO: 132,40 M² </v>
      </c>
      <c r="C32" s="41"/>
      <c r="D32" s="116" t="str">
        <f>'PLANILHA SEM DESON'!I347</f>
        <v>5,669.12</v>
      </c>
      <c r="E32" s="113" t="str">
        <f t="shared" si="1"/>
        <v>0.32</v>
      </c>
    </row>
    <row r="33" ht="14.25" customHeight="1">
      <c r="A33" s="115" t="str">
        <f>'PLANILHA SEM DESON'!A348</f>
        <v>15.2.2</v>
      </c>
      <c r="B33" s="114" t="str">
        <f>'PLANILHA SEM DESON'!C348</f>
        <v>FOSSA SÉPTICA E FILTRO ANAERÓBIO CONJUGADO EM BLOCO DE CONCRETO</v>
      </c>
      <c r="C33" s="41"/>
      <c r="D33" s="116" t="str">
        <f>'PLANILHA SEM DESON'!I361</f>
        <v>7,632.54</v>
      </c>
      <c r="E33" s="113" t="str">
        <f t="shared" si="1"/>
        <v>0.43</v>
      </c>
    </row>
    <row r="34" ht="14.25" customHeight="1">
      <c r="A34" s="115" t="str">
        <f>'PLANILHA SEM DESON'!A362</f>
        <v>016</v>
      </c>
      <c r="B34" s="114" t="str">
        <f>'PLANILHA SEM DESON'!C362</f>
        <v>BANCADAS, RODABANCADAS, DIVISÓRIAS E REQUADRO EM GRANITO </v>
      </c>
      <c r="C34" s="41"/>
      <c r="D34" s="116" t="str">
        <f>'PLANILHA SEM DESON'!I369</f>
        <v>10,523.78</v>
      </c>
      <c r="E34" s="113" t="str">
        <f t="shared" si="1"/>
        <v>0.60</v>
      </c>
    </row>
    <row r="35" ht="14.25" customHeight="1">
      <c r="A35" s="115" t="str">
        <f>'PLANILHA SEM DESON'!A370</f>
        <v>017</v>
      </c>
      <c r="B35" s="114" t="str">
        <f>'PLANILHA SEM DESON'!C370</f>
        <v>MURETA COM GRADIL</v>
      </c>
      <c r="C35" s="41"/>
      <c r="D35" s="116" t="str">
        <f>'PLANILHA SEM DESON'!I405</f>
        <v>505,229.90</v>
      </c>
      <c r="E35" s="113" t="str">
        <f t="shared" si="1"/>
        <v>28.59</v>
      </c>
    </row>
    <row r="36" ht="14.25" customHeight="1">
      <c r="A36" s="115" t="str">
        <f>'PLANILHA SEM DESON'!A406</f>
        <v>018</v>
      </c>
      <c r="B36" s="114" t="str">
        <f>'PLANILHA SEM DESON'!C406</f>
        <v>SERVIÇOS CONSTRUTIVOS COMPLEMENTARES</v>
      </c>
      <c r="C36" s="41"/>
      <c r="D36" s="116" t="str">
        <f>'PLANILHA SEM DESON'!I421</f>
        <v>227,762.48</v>
      </c>
      <c r="E36" s="113" t="str">
        <f t="shared" si="1"/>
        <v>12.89</v>
      </c>
    </row>
    <row r="37" ht="14.25" customHeight="1">
      <c r="A37" s="115" t="str">
        <f>'PLANILHA SEM DESON'!A422</f>
        <v>019</v>
      </c>
      <c r="B37" s="114" t="str">
        <f>'PLANILHA SEM DESON'!C422</f>
        <v>LIMPEZA GERAL</v>
      </c>
      <c r="C37" s="41"/>
      <c r="D37" s="116" t="str">
        <f>'PLANILHA SEM DESON'!I426</f>
        <v>2,141.94</v>
      </c>
      <c r="E37" s="113" t="str">
        <f t="shared" si="1"/>
        <v>0.12</v>
      </c>
    </row>
    <row r="38" ht="14.25" customHeight="1">
      <c r="A38" s="117" t="s">
        <v>18</v>
      </c>
      <c r="B38" s="118"/>
      <c r="C38" s="119"/>
      <c r="D38" s="120" t="str">
        <f>TRUNC(SUM(D16:D37),2)</f>
        <v> 1,767,160.46 </v>
      </c>
      <c r="E38" s="113" t="str">
        <f t="shared" si="1"/>
        <v>100.00</v>
      </c>
    </row>
    <row r="39" ht="14.25" customHeight="1">
      <c r="A39" s="121"/>
      <c r="B39" s="41"/>
      <c r="C39" s="122" t="s">
        <v>19</v>
      </c>
      <c r="D39" s="123" t="str">
        <f>D38</f>
        <v>1,767,160.46</v>
      </c>
      <c r="E39" s="124"/>
    </row>
    <row r="40" ht="13.5" customHeight="1">
      <c r="A40" s="125"/>
      <c r="B40" s="126" t="str">
        <f>'PLANILHA SEM DESON'!B429:I429</f>
        <v>um milão, setecentos e sesenta e sete mil, cento e sesenta reais e quarenta e seis centavos.</v>
      </c>
      <c r="C40" s="127"/>
      <c r="D40" s="127"/>
      <c r="E40" s="128"/>
    </row>
    <row r="41" ht="42.75" customHeight="1">
      <c r="A41" s="129"/>
      <c r="C41" s="130"/>
      <c r="F41" s="131"/>
      <c r="G41" s="132"/>
      <c r="H41" s="132"/>
    </row>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37">
    <mergeCell ref="B25:C25"/>
    <mergeCell ref="B26:C26"/>
    <mergeCell ref="B19:C19"/>
    <mergeCell ref="B21:C21"/>
    <mergeCell ref="B20:C20"/>
    <mergeCell ref="B22:C22"/>
    <mergeCell ref="B24:C24"/>
    <mergeCell ref="B23:C23"/>
    <mergeCell ref="B27:C27"/>
    <mergeCell ref="B31:C31"/>
    <mergeCell ref="B30:C30"/>
    <mergeCell ref="A39:B39"/>
    <mergeCell ref="D39:E39"/>
    <mergeCell ref="B33:C33"/>
    <mergeCell ref="B34:C34"/>
    <mergeCell ref="B32:C32"/>
    <mergeCell ref="A41:B41"/>
    <mergeCell ref="B36:C36"/>
    <mergeCell ref="B37:C37"/>
    <mergeCell ref="C41:E41"/>
    <mergeCell ref="B40:E40"/>
    <mergeCell ref="A38:C38"/>
    <mergeCell ref="B35:C35"/>
    <mergeCell ref="A14:E14"/>
    <mergeCell ref="B15:C15"/>
    <mergeCell ref="B16:C16"/>
    <mergeCell ref="B18:C18"/>
    <mergeCell ref="B17:C17"/>
    <mergeCell ref="B3:D3"/>
    <mergeCell ref="B4:D4"/>
    <mergeCell ref="B8:C8"/>
    <mergeCell ref="B9:C9"/>
    <mergeCell ref="B10:C10"/>
    <mergeCell ref="B11:C11"/>
    <mergeCell ref="B12:C12"/>
    <mergeCell ref="B28:C28"/>
    <mergeCell ref="B29:C29"/>
  </mergeCells>
  <printOptions horizontalCentered="1"/>
  <pageMargins bottom="0.984251968503937" footer="0.0" header="0.0" left="0.7874015748031497" right="0.5905511811023623" top="1.1811023622047245"/>
  <pageSetup paperSize="9" scale="70"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6.43"/>
    <col customWidth="1" min="3" max="3" width="78.71"/>
    <col customWidth="1" min="4" max="4" width="8.71"/>
    <col customWidth="1" min="5" max="5" width="12.0"/>
    <col customWidth="1" min="6" max="6" width="11.57"/>
    <col customWidth="1" hidden="1" min="7" max="7" width="9.14"/>
    <col customWidth="1" min="8" max="8" width="11.29"/>
    <col customWidth="1" min="9" max="9" width="13.0"/>
    <col customWidth="1" min="10" max="10" width="21.0"/>
    <col customWidth="1" min="11" max="11" width="34.14"/>
    <col customWidth="1" min="12" max="12" width="35.0"/>
    <col customWidth="1" min="13" max="13" width="9.57"/>
    <col customWidth="1" min="14" max="14" width="10.86"/>
    <col customWidth="1" min="15" max="15" width="10.0"/>
  </cols>
  <sheetData>
    <row r="1" ht="21.0" customHeight="1">
      <c r="A1" s="76"/>
      <c r="B1" s="76"/>
      <c r="C1" s="77"/>
      <c r="D1" s="78"/>
      <c r="E1" s="78"/>
      <c r="F1" s="76"/>
      <c r="G1" s="76"/>
      <c r="H1" s="79"/>
      <c r="I1" s="76"/>
    </row>
    <row r="2" ht="14.25" customHeight="1">
      <c r="A2" s="76"/>
      <c r="B2" s="76"/>
      <c r="C2" s="7"/>
      <c r="D2" s="7"/>
      <c r="E2" s="7"/>
      <c r="F2" s="7"/>
      <c r="G2" s="7"/>
      <c r="H2" s="7"/>
      <c r="I2" s="76"/>
    </row>
    <row r="3" ht="17.25" customHeight="1">
      <c r="A3" s="76"/>
      <c r="B3" s="76"/>
      <c r="C3" s="6"/>
      <c r="G3" s="7"/>
      <c r="H3" s="7"/>
      <c r="I3" s="76"/>
    </row>
    <row r="4" ht="18.0" customHeight="1">
      <c r="A4" s="76"/>
      <c r="B4" s="76"/>
      <c r="C4" s="82"/>
      <c r="G4" s="81"/>
      <c r="H4" s="81"/>
      <c r="I4" s="76"/>
    </row>
    <row r="5" ht="16.5" customHeight="1">
      <c r="A5" s="76"/>
      <c r="B5" s="76"/>
      <c r="C5" s="82"/>
      <c r="G5" s="81"/>
      <c r="H5" s="81"/>
      <c r="I5" s="76"/>
    </row>
    <row r="6" ht="17.25" customHeight="1"/>
    <row r="7" ht="17.25" customHeight="1">
      <c r="A7" s="133" t="s">
        <v>0</v>
      </c>
      <c r="B7" s="88" t="s">
        <v>20</v>
      </c>
      <c r="C7" s="34"/>
      <c r="D7" s="134"/>
      <c r="E7" s="135"/>
      <c r="F7" s="134"/>
      <c r="G7" s="11"/>
      <c r="H7" s="136"/>
      <c r="I7" s="137"/>
      <c r="K7" s="138" t="str">
        <f>E15-(E15*0.18)</f>
        <v>  53,954.02 </v>
      </c>
    </row>
    <row r="8" ht="14.25" customHeight="1">
      <c r="A8" s="139" t="s">
        <v>21</v>
      </c>
      <c r="B8" s="92" t="s">
        <v>22</v>
      </c>
      <c r="D8" s="140"/>
      <c r="E8" s="141"/>
      <c r="F8" s="140"/>
      <c r="G8" s="102"/>
      <c r="H8" s="142"/>
      <c r="I8" s="143"/>
    </row>
    <row r="9" ht="14.25" customHeight="1">
      <c r="A9" s="139" t="s">
        <v>23</v>
      </c>
      <c r="B9" s="92" t="s">
        <v>24</v>
      </c>
      <c r="D9" s="140"/>
      <c r="E9" s="141"/>
      <c r="F9" s="140"/>
      <c r="G9" s="102"/>
      <c r="H9" s="144" t="s">
        <v>25</v>
      </c>
      <c r="I9" s="145">
        <v>0.2223</v>
      </c>
      <c r="K9" t="str">
        <f>E15*18%</f>
        <v>11843.5657</v>
      </c>
    </row>
    <row r="10" ht="14.25" customHeight="1">
      <c r="A10" s="139" t="s">
        <v>26</v>
      </c>
      <c r="B10" s="92" t="s">
        <v>27</v>
      </c>
      <c r="D10" s="140"/>
      <c r="E10" s="141"/>
      <c r="F10" s="140"/>
      <c r="G10" s="102"/>
      <c r="H10" s="146" t="s">
        <v>28</v>
      </c>
      <c r="I10" s="147">
        <v>44895.0</v>
      </c>
      <c r="K10" s="148" t="str">
        <f>E15-K9</f>
        <v>53,954.02</v>
      </c>
    </row>
    <row r="11" ht="14.25" customHeight="1">
      <c r="A11" s="149" t="s">
        <v>29</v>
      </c>
      <c r="B11" s="150" t="s">
        <v>30</v>
      </c>
      <c r="C11" s="151" t="s">
        <v>31</v>
      </c>
      <c r="D11" s="152"/>
      <c r="E11" s="153"/>
      <c r="F11" s="154"/>
      <c r="G11" s="155"/>
      <c r="H11" s="156" t="s">
        <v>32</v>
      </c>
      <c r="I11" s="157" t="s">
        <v>33</v>
      </c>
    </row>
    <row r="12" ht="3.75" customHeight="1">
      <c r="A12" s="158"/>
      <c r="I12" s="159"/>
    </row>
    <row r="13" ht="14.25" customHeight="1">
      <c r="A13" s="160" t="s">
        <v>34</v>
      </c>
      <c r="B13" s="161" t="s">
        <v>35</v>
      </c>
      <c r="C13" s="162" t="s">
        <v>36</v>
      </c>
      <c r="D13" s="161" t="s">
        <v>37</v>
      </c>
      <c r="E13" s="163" t="s">
        <v>38</v>
      </c>
      <c r="F13" s="161" t="s">
        <v>39</v>
      </c>
      <c r="G13" s="164" t="s">
        <v>39</v>
      </c>
      <c r="H13" s="164" t="s">
        <v>40</v>
      </c>
      <c r="I13" s="165" t="s">
        <v>41</v>
      </c>
      <c r="K13" s="24"/>
    </row>
    <row r="14" ht="14.25" customHeight="1">
      <c r="A14" s="166">
        <v>1.0</v>
      </c>
      <c r="B14" s="167"/>
      <c r="C14" s="168" t="s">
        <v>42</v>
      </c>
      <c r="D14" s="169"/>
      <c r="E14" s="170"/>
      <c r="F14" s="169"/>
      <c r="G14" s="171"/>
      <c r="H14" s="171"/>
      <c r="I14" s="172"/>
      <c r="J14" s="173"/>
      <c r="K14" s="173"/>
    </row>
    <row r="15" ht="14.25" customHeight="1">
      <c r="A15" s="174" t="s">
        <v>43</v>
      </c>
      <c r="B15" s="175" t="s">
        <v>44</v>
      </c>
      <c r="C15" s="176" t="s">
        <v>45</v>
      </c>
      <c r="D15" s="177" t="s">
        <v>46</v>
      </c>
      <c r="E15" s="178">
        <v>65797.58720000001</v>
      </c>
      <c r="F15" s="179" t="str">
        <f>IF(OR(E15&lt;=0)," ",TRUNC(G15,2))</f>
        <v>1.00</v>
      </c>
      <c r="G15" s="180">
        <v>1.0</v>
      </c>
      <c r="H15" s="181" t="str">
        <f>IF(OR(E15&lt;=0)," ",TRUNC((E15*(1+$I$9)),2))</f>
        <v>80,424.39</v>
      </c>
      <c r="I15" s="182" t="str">
        <f>IF(OR(E15&lt;=0)," ",TRUNC((H15*F15),2))</f>
        <v>80,424.39</v>
      </c>
      <c r="J15" s="183" t="str">
        <f>'COMP CIVIL'!F21</f>
        <v>80240.96</v>
      </c>
      <c r="K15" s="184"/>
    </row>
    <row r="16" ht="14.25" customHeight="1">
      <c r="A16" s="185"/>
      <c r="B16" s="186"/>
      <c r="C16" s="187"/>
      <c r="D16" s="188"/>
      <c r="E16" s="189"/>
      <c r="F16" s="190"/>
      <c r="G16" s="191"/>
      <c r="H16" s="192" t="s">
        <v>47</v>
      </c>
      <c r="I16" s="193" t="str">
        <f>TRUNC(SUM(I15),2)</f>
        <v>80,424.39</v>
      </c>
      <c r="J16" s="194"/>
      <c r="K16" s="184"/>
    </row>
    <row r="17" ht="14.25" customHeight="1">
      <c r="A17" s="166">
        <v>2.0</v>
      </c>
      <c r="B17" s="167"/>
      <c r="C17" s="168" t="s">
        <v>48</v>
      </c>
      <c r="D17" s="169"/>
      <c r="E17" s="195"/>
      <c r="F17" s="196"/>
      <c r="G17" s="197"/>
      <c r="H17" s="197"/>
      <c r="I17" s="172"/>
      <c r="J17" s="173"/>
      <c r="K17" s="198" t="s">
        <v>49</v>
      </c>
    </row>
    <row r="18" ht="20.25" customHeight="1">
      <c r="A18" s="174" t="s">
        <v>50</v>
      </c>
      <c r="B18" s="175" t="s">
        <v>51</v>
      </c>
      <c r="C18" s="176" t="s">
        <v>52</v>
      </c>
      <c r="D18" s="177" t="s">
        <v>53</v>
      </c>
      <c r="E18" s="178">
        <v>429.72099999999995</v>
      </c>
      <c r="F18" s="179" t="str">
        <f t="shared" ref="F18:F31" si="1">IF(OR(E18&lt;=0)," ",TRUNC(G18,2))</f>
        <v>12.50</v>
      </c>
      <c r="G18" s="180">
        <v>12.5</v>
      </c>
      <c r="H18" s="181" t="str">
        <f t="shared" ref="H18:H31" si="2">IF(OR(E18&lt;=0)," ",TRUNC((E18*(1+$I$9)),2))</f>
        <v>525.24</v>
      </c>
      <c r="I18" s="182" t="str">
        <f t="shared" ref="I18:I31" si="3">IF(OR(E18&lt;=0)," ",TRUNC((H18*F18),2))</f>
        <v>6,565.50</v>
      </c>
      <c r="J18" s="183" t="str">
        <f>'COMP CIVIL'!F38</f>
        <v>524.05</v>
      </c>
      <c r="K18" s="199"/>
    </row>
    <row r="19" ht="46.5" customHeight="1">
      <c r="A19" s="174" t="s">
        <v>54</v>
      </c>
      <c r="B19" s="200">
        <v>98525.0</v>
      </c>
      <c r="C19" s="92" t="s">
        <v>55</v>
      </c>
      <c r="D19" s="177" t="s">
        <v>53</v>
      </c>
      <c r="E19" s="178">
        <v>0.2952</v>
      </c>
      <c r="F19" s="179" t="str">
        <f t="shared" si="1"/>
        <v>1,570.00</v>
      </c>
      <c r="G19" s="201">
        <v>1570.0</v>
      </c>
      <c r="H19" s="181" t="str">
        <f t="shared" si="2"/>
        <v>0.36</v>
      </c>
      <c r="I19" s="182" t="str">
        <f t="shared" si="3"/>
        <v>565.20</v>
      </c>
      <c r="J19" s="194"/>
      <c r="K19" s="184"/>
    </row>
    <row r="20" ht="45.75" customHeight="1">
      <c r="A20" s="174" t="s">
        <v>56</v>
      </c>
      <c r="B20" s="200">
        <v>100981.0</v>
      </c>
      <c r="C20" s="176" t="s">
        <v>57</v>
      </c>
      <c r="D20" s="177" t="s">
        <v>58</v>
      </c>
      <c r="E20" s="178">
        <v>6.8224</v>
      </c>
      <c r="F20" s="179" t="str">
        <f t="shared" si="1"/>
        <v>190.40</v>
      </c>
      <c r="G20" s="180">
        <v>190.4</v>
      </c>
      <c r="H20" s="181" t="str">
        <f t="shared" si="2"/>
        <v>8.33</v>
      </c>
      <c r="I20" s="182" t="str">
        <f t="shared" si="3"/>
        <v>1,586.03</v>
      </c>
      <c r="J20" s="202" t="str">
        <f>1570*0.2*0.4+12.08*0.4+40.02+19.95</f>
        <v>190.40</v>
      </c>
      <c r="K20" s="203" t="s">
        <v>59</v>
      </c>
      <c r="L20" s="204"/>
    </row>
    <row r="21" ht="33.0" customHeight="1">
      <c r="A21" s="174" t="s">
        <v>60</v>
      </c>
      <c r="B21" s="200">
        <v>95875.0</v>
      </c>
      <c r="C21" s="176" t="s">
        <v>61</v>
      </c>
      <c r="D21" s="177" t="s">
        <v>62</v>
      </c>
      <c r="E21" s="178">
        <v>1.8696</v>
      </c>
      <c r="F21" s="179" t="str">
        <f t="shared" si="1"/>
        <v>5,712.00</v>
      </c>
      <c r="G21" s="180">
        <v>5712.0</v>
      </c>
      <c r="H21" s="181" t="str">
        <f t="shared" si="2"/>
        <v>2.28</v>
      </c>
      <c r="I21" s="182" t="str">
        <f t="shared" si="3"/>
        <v>13,023.36</v>
      </c>
      <c r="J21" s="130" t="s">
        <v>63</v>
      </c>
      <c r="K21" s="205" t="s">
        <v>64</v>
      </c>
      <c r="L21" s="41"/>
      <c r="M21" s="206"/>
    </row>
    <row r="22" ht="18.0" customHeight="1">
      <c r="A22" s="174" t="s">
        <v>65</v>
      </c>
      <c r="B22" s="207">
        <v>98459.0</v>
      </c>
      <c r="C22" s="208" t="s">
        <v>66</v>
      </c>
      <c r="D22" s="177" t="s">
        <v>53</v>
      </c>
      <c r="E22" s="178">
        <v>87.3956</v>
      </c>
      <c r="F22" s="179" t="str">
        <f t="shared" si="1"/>
        <v>394.96</v>
      </c>
      <c r="G22" s="201">
        <v>394.96</v>
      </c>
      <c r="H22" s="181" t="str">
        <f t="shared" si="2"/>
        <v>106.82</v>
      </c>
      <c r="I22" s="182" t="str">
        <f t="shared" si="3"/>
        <v>42,189.62</v>
      </c>
      <c r="J22" s="209"/>
      <c r="K22" s="209"/>
    </row>
    <row r="23" ht="30.75" customHeight="1">
      <c r="A23" s="174" t="s">
        <v>67</v>
      </c>
      <c r="B23" s="200">
        <v>99059.0</v>
      </c>
      <c r="C23" s="176" t="s">
        <v>68</v>
      </c>
      <c r="D23" s="210" t="s">
        <v>69</v>
      </c>
      <c r="E23" s="178">
        <v>46.7318</v>
      </c>
      <c r="F23" s="179" t="str">
        <f t="shared" si="1"/>
        <v>78.25</v>
      </c>
      <c r="G23" s="180">
        <v>78.25</v>
      </c>
      <c r="H23" s="181" t="str">
        <f t="shared" si="2"/>
        <v>57.12</v>
      </c>
      <c r="I23" s="182" t="str">
        <f t="shared" si="3"/>
        <v>4,469.64</v>
      </c>
      <c r="J23" s="184"/>
      <c r="K23" s="211"/>
      <c r="L23" s="204"/>
    </row>
    <row r="24" ht="30.75" customHeight="1">
      <c r="A24" s="174" t="s">
        <v>70</v>
      </c>
      <c r="B24" s="212" t="s">
        <v>71</v>
      </c>
      <c r="C24" s="213" t="s">
        <v>72</v>
      </c>
      <c r="D24" s="177" t="s">
        <v>46</v>
      </c>
      <c r="E24" s="178">
        <v>2113.2548000000006</v>
      </c>
      <c r="F24" s="179" t="str">
        <f t="shared" si="1"/>
        <v>1.00</v>
      </c>
      <c r="G24" s="180">
        <v>1.0</v>
      </c>
      <c r="H24" s="181" t="str">
        <f t="shared" si="2"/>
        <v>2,583.03</v>
      </c>
      <c r="I24" s="182" t="str">
        <f t="shared" si="3"/>
        <v>2,583.03</v>
      </c>
      <c r="J24" s="183" t="str">
        <f>'COMP CIVIL'!F65</f>
        <v>2577.14</v>
      </c>
      <c r="K24" s="214"/>
      <c r="L24" s="215"/>
      <c r="M24" s="216"/>
      <c r="N24" s="216"/>
      <c r="O24" s="216"/>
    </row>
    <row r="25" ht="35.25" customHeight="1">
      <c r="A25" s="174" t="s">
        <v>73</v>
      </c>
      <c r="B25" s="217">
        <v>93212.0</v>
      </c>
      <c r="C25" s="208" t="s">
        <v>74</v>
      </c>
      <c r="D25" s="210" t="s">
        <v>53</v>
      </c>
      <c r="E25" s="178">
        <v>877.8592</v>
      </c>
      <c r="F25" s="179" t="str">
        <f t="shared" si="1"/>
        <v>9.00</v>
      </c>
      <c r="G25" s="180">
        <v>9.0</v>
      </c>
      <c r="H25" s="181" t="str">
        <f t="shared" si="2"/>
        <v>1,073.00</v>
      </c>
      <c r="I25" s="182" t="str">
        <f t="shared" si="3"/>
        <v>9,657.00</v>
      </c>
      <c r="J25" s="218"/>
      <c r="K25" s="219"/>
      <c r="L25" s="204"/>
    </row>
    <row r="26" ht="30.75" customHeight="1">
      <c r="A26" s="174" t="s">
        <v>75</v>
      </c>
      <c r="B26" s="200">
        <v>93208.0</v>
      </c>
      <c r="C26" s="220" t="s">
        <v>76</v>
      </c>
      <c r="D26" s="210" t="s">
        <v>53</v>
      </c>
      <c r="E26" s="178">
        <v>789.332</v>
      </c>
      <c r="F26" s="179" t="str">
        <f t="shared" si="1"/>
        <v>23.38</v>
      </c>
      <c r="G26" s="180">
        <v>23.38</v>
      </c>
      <c r="H26" s="181" t="str">
        <f t="shared" si="2"/>
        <v>964.80</v>
      </c>
      <c r="I26" s="182" t="str">
        <f t="shared" si="3"/>
        <v>22,557.02</v>
      </c>
      <c r="J26" s="218"/>
      <c r="K26" s="219"/>
      <c r="L26" s="204"/>
    </row>
    <row r="27" ht="35.25" customHeight="1">
      <c r="A27" s="174" t="s">
        <v>77</v>
      </c>
      <c r="B27" s="200">
        <v>93210.0</v>
      </c>
      <c r="C27" s="221" t="s">
        <v>78</v>
      </c>
      <c r="D27" s="210" t="s">
        <v>53</v>
      </c>
      <c r="E27" s="178">
        <v>515.6652</v>
      </c>
      <c r="F27" s="179" t="str">
        <f t="shared" si="1"/>
        <v>23.38</v>
      </c>
      <c r="G27" s="180">
        <v>23.38</v>
      </c>
      <c r="H27" s="181" t="str">
        <f t="shared" si="2"/>
        <v>630.29</v>
      </c>
      <c r="I27" s="182" t="str">
        <f t="shared" si="3"/>
        <v>14,736.18</v>
      </c>
      <c r="J27" s="218"/>
      <c r="K27" s="219"/>
    </row>
    <row r="28" ht="34.5" customHeight="1">
      <c r="A28" s="174" t="s">
        <v>79</v>
      </c>
      <c r="B28" s="200">
        <v>93207.0</v>
      </c>
      <c r="C28" s="221" t="s">
        <v>80</v>
      </c>
      <c r="D28" s="210" t="s">
        <v>53</v>
      </c>
      <c r="E28" s="178">
        <v>979.0472</v>
      </c>
      <c r="F28" s="179" t="str">
        <f t="shared" si="1"/>
        <v>13.60</v>
      </c>
      <c r="G28" s="180">
        <v>13.6</v>
      </c>
      <c r="H28" s="181" t="str">
        <f t="shared" si="2"/>
        <v>1,196.68</v>
      </c>
      <c r="I28" s="182" t="str">
        <f t="shared" si="3"/>
        <v>16,274.84</v>
      </c>
      <c r="J28" s="218"/>
      <c r="K28" s="219"/>
    </row>
    <row r="29" ht="36.75" customHeight="1">
      <c r="A29" s="174" t="s">
        <v>81</v>
      </c>
      <c r="B29" s="222">
        <v>93214.0</v>
      </c>
      <c r="C29" s="220" t="s">
        <v>82</v>
      </c>
      <c r="D29" s="177" t="s">
        <v>46</v>
      </c>
      <c r="E29" s="178">
        <v>5200.5958</v>
      </c>
      <c r="F29" s="179" t="str">
        <f t="shared" si="1"/>
        <v>1.00</v>
      </c>
      <c r="G29" s="180">
        <v>1.0</v>
      </c>
      <c r="H29" s="181" t="str">
        <f t="shared" si="2"/>
        <v>6,356.68</v>
      </c>
      <c r="I29" s="182" t="str">
        <f t="shared" si="3"/>
        <v>6,356.68</v>
      </c>
      <c r="J29" s="218"/>
      <c r="K29" s="219"/>
    </row>
    <row r="30" ht="45.0" customHeight="1">
      <c r="A30" s="223" t="s">
        <v>83</v>
      </c>
      <c r="B30" s="224">
        <v>95635.0</v>
      </c>
      <c r="C30" s="225" t="s">
        <v>84</v>
      </c>
      <c r="D30" s="226" t="s">
        <v>46</v>
      </c>
      <c r="E30" s="178">
        <v>234.14280000000002</v>
      </c>
      <c r="F30" s="227" t="str">
        <f t="shared" si="1"/>
        <v>1.00</v>
      </c>
      <c r="G30" s="228">
        <v>1.0</v>
      </c>
      <c r="H30" s="229" t="str">
        <f t="shared" si="2"/>
        <v>286.19</v>
      </c>
      <c r="I30" s="230" t="str">
        <f t="shared" si="3"/>
        <v>286.19</v>
      </c>
      <c r="J30" s="218"/>
      <c r="K30" s="219"/>
    </row>
    <row r="31" ht="27.0" customHeight="1">
      <c r="A31" s="174" t="s">
        <v>85</v>
      </c>
      <c r="B31" s="200">
        <v>95675.0</v>
      </c>
      <c r="C31" s="220" t="s">
        <v>86</v>
      </c>
      <c r="D31" s="177" t="s">
        <v>46</v>
      </c>
      <c r="E31" s="178">
        <v>117.80939999999998</v>
      </c>
      <c r="F31" s="179" t="str">
        <f t="shared" si="1"/>
        <v>1.00</v>
      </c>
      <c r="G31" s="201">
        <v>1.0</v>
      </c>
      <c r="H31" s="181" t="str">
        <f t="shared" si="2"/>
        <v>143.99</v>
      </c>
      <c r="I31" s="182" t="str">
        <f t="shared" si="3"/>
        <v>143.99</v>
      </c>
      <c r="J31" s="209"/>
      <c r="K31" s="209"/>
    </row>
    <row r="32" ht="14.25" customHeight="1">
      <c r="A32" s="185"/>
      <c r="B32" s="186"/>
      <c r="C32" s="231"/>
      <c r="D32" s="188"/>
      <c r="E32" s="189"/>
      <c r="F32" s="190"/>
      <c r="G32" s="191"/>
      <c r="H32" s="192" t="s">
        <v>47</v>
      </c>
      <c r="I32" s="193" t="str">
        <f>TRUNC(SUM(I18:I31),2)</f>
        <v>140,994.28</v>
      </c>
      <c r="K32" s="232"/>
    </row>
    <row r="33" ht="14.25" customHeight="1">
      <c r="A33" s="166">
        <v>3.0</v>
      </c>
      <c r="B33" s="167"/>
      <c r="C33" s="168" t="s">
        <v>87</v>
      </c>
      <c r="D33" s="169"/>
      <c r="E33" s="195"/>
      <c r="F33" s="196"/>
      <c r="G33" s="197"/>
      <c r="H33" s="197"/>
      <c r="I33" s="172"/>
      <c r="J33" s="206" t="s">
        <v>88</v>
      </c>
      <c r="K33" s="173"/>
    </row>
    <row r="34" ht="42.75" customHeight="1">
      <c r="A34" s="233" t="s">
        <v>89</v>
      </c>
      <c r="B34" s="200">
        <v>101113.0</v>
      </c>
      <c r="C34" s="221" t="s">
        <v>90</v>
      </c>
      <c r="D34" s="234" t="s">
        <v>58</v>
      </c>
      <c r="E34" s="178">
        <v>836.851</v>
      </c>
      <c r="F34" s="179" t="str">
        <f t="shared" ref="F34:F36" si="4">IF(OR(E34&lt;=0)," ",TRUNC(G34,2))</f>
        <v>30.34</v>
      </c>
      <c r="G34" s="180">
        <v>30.34</v>
      </c>
      <c r="H34" s="181" t="str">
        <f t="shared" ref="H34:H36" si="5">IF(OR(E34&lt;=0)," ",TRUNC((E34*(1+$I$9)),2))</f>
        <v>1,022.88</v>
      </c>
      <c r="I34" s="182" t="str">
        <f t="shared" ref="I34:I36" si="6">IF(OR(E34&lt;=0)," ",TRUNC((H34*F34),2))</f>
        <v>31,034.17</v>
      </c>
      <c r="J34" s="173"/>
      <c r="K34" s="235"/>
    </row>
    <row r="35" ht="30.75" customHeight="1">
      <c r="A35" s="233" t="s">
        <v>91</v>
      </c>
      <c r="B35" s="236">
        <v>96527.0</v>
      </c>
      <c r="C35" s="221" t="s">
        <v>92</v>
      </c>
      <c r="D35" s="234" t="s">
        <v>58</v>
      </c>
      <c r="E35" s="178">
        <v>95.407</v>
      </c>
      <c r="F35" s="179" t="str">
        <f t="shared" si="4"/>
        <v>35.49</v>
      </c>
      <c r="G35" s="228">
        <v>35.49</v>
      </c>
      <c r="H35" s="181" t="str">
        <f t="shared" si="5"/>
        <v>116.61</v>
      </c>
      <c r="I35" s="182" t="str">
        <f t="shared" si="6"/>
        <v>4,138.48</v>
      </c>
      <c r="J35" s="237"/>
      <c r="K35" s="238"/>
    </row>
    <row r="36" ht="19.5" customHeight="1">
      <c r="A36" s="233" t="s">
        <v>93</v>
      </c>
      <c r="B36" s="200">
        <v>96995.0</v>
      </c>
      <c r="C36" s="239" t="s">
        <v>94</v>
      </c>
      <c r="D36" s="234" t="s">
        <v>58</v>
      </c>
      <c r="E36" s="178">
        <v>38.253</v>
      </c>
      <c r="F36" s="179" t="str">
        <f t="shared" si="4"/>
        <v>25.81</v>
      </c>
      <c r="G36" s="228">
        <v>25.81</v>
      </c>
      <c r="H36" s="181" t="str">
        <f t="shared" si="5"/>
        <v>46.75</v>
      </c>
      <c r="I36" s="182" t="str">
        <f t="shared" si="6"/>
        <v>1,206.61</v>
      </c>
      <c r="J36" s="240"/>
      <c r="K36" s="241" t="s">
        <v>95</v>
      </c>
      <c r="L36" s="242"/>
    </row>
    <row r="37" ht="14.25" customHeight="1">
      <c r="A37" s="243"/>
      <c r="B37" s="188"/>
      <c r="C37" s="188"/>
      <c r="D37" s="188"/>
      <c r="E37" s="189"/>
      <c r="F37" s="190"/>
      <c r="G37" s="191"/>
      <c r="H37" s="192" t="s">
        <v>47</v>
      </c>
      <c r="I37" s="193" t="str">
        <f>TRUNC(SUM(I34:I36),2)</f>
        <v>36,379.26</v>
      </c>
      <c r="J37" s="232"/>
      <c r="K37" s="232"/>
    </row>
    <row r="38" ht="14.25" customHeight="1">
      <c r="A38" s="166">
        <v>4.0</v>
      </c>
      <c r="B38" s="167"/>
      <c r="C38" s="168" t="s">
        <v>96</v>
      </c>
      <c r="D38" s="169"/>
      <c r="E38" s="195"/>
      <c r="F38" s="196"/>
      <c r="G38" s="197"/>
      <c r="H38" s="197"/>
      <c r="I38" s="172"/>
      <c r="J38" s="206"/>
      <c r="K38" s="232"/>
    </row>
    <row r="39" ht="14.25" customHeight="1">
      <c r="A39" s="244" t="s">
        <v>97</v>
      </c>
      <c r="B39" s="245"/>
      <c r="C39" s="246" t="s">
        <v>98</v>
      </c>
      <c r="D39" s="245"/>
      <c r="E39" s="247"/>
      <c r="F39" s="248" t="str">
        <f t="shared" ref="F39:F91" si="7">IF(OR(E39&lt;=0)," ",TRUNC(G39,2))</f>
        <v> </v>
      </c>
      <c r="G39" s="249"/>
      <c r="H39" s="249" t="str">
        <f t="shared" ref="H39:H91" si="8">IF(OR(E39&lt;=0)," ",TRUNC((E39*(1+$I$9)),2))</f>
        <v> </v>
      </c>
      <c r="I39" s="250" t="str">
        <f t="shared" ref="I39:I91" si="9">IF(OR(E39&lt;=0)," ",TRUNC((H39*F39),2))</f>
        <v> </v>
      </c>
      <c r="J39" s="173"/>
      <c r="K39" s="232"/>
    </row>
    <row r="40" ht="35.25" customHeight="1">
      <c r="A40" s="174" t="s">
        <v>99</v>
      </c>
      <c r="B40" s="200">
        <v>96536.0</v>
      </c>
      <c r="C40" s="220" t="s">
        <v>100</v>
      </c>
      <c r="D40" s="251" t="s">
        <v>53</v>
      </c>
      <c r="E40" s="252">
        <v>62.2298</v>
      </c>
      <c r="F40" s="179" t="str">
        <f t="shared" si="7"/>
        <v>153.22</v>
      </c>
      <c r="G40" s="253">
        <v>153.22</v>
      </c>
      <c r="H40" s="181" t="str">
        <f t="shared" si="8"/>
        <v>76.06</v>
      </c>
      <c r="I40" s="182" t="str">
        <f t="shared" si="9"/>
        <v>11,653.91</v>
      </c>
      <c r="J40" s="232"/>
      <c r="K40" s="232"/>
    </row>
    <row r="41" ht="35.25" customHeight="1">
      <c r="A41" s="174" t="s">
        <v>101</v>
      </c>
      <c r="B41" s="200">
        <v>94965.0</v>
      </c>
      <c r="C41" s="208" t="s">
        <v>102</v>
      </c>
      <c r="D41" s="234" t="s">
        <v>58</v>
      </c>
      <c r="E41" s="252">
        <v>465.76</v>
      </c>
      <c r="F41" s="179" t="str">
        <f t="shared" si="7"/>
        <v>9.68</v>
      </c>
      <c r="G41" s="253">
        <v>9.68</v>
      </c>
      <c r="H41" s="181" t="str">
        <f t="shared" si="8"/>
        <v>569.29</v>
      </c>
      <c r="I41" s="182" t="str">
        <f t="shared" si="9"/>
        <v>5,510.72</v>
      </c>
      <c r="J41" s="232"/>
      <c r="K41" s="254"/>
    </row>
    <row r="42" ht="14.25" customHeight="1">
      <c r="A42" s="174" t="s">
        <v>103</v>
      </c>
      <c r="B42" s="200">
        <v>103673.0</v>
      </c>
      <c r="C42" s="176" t="s">
        <v>104</v>
      </c>
      <c r="D42" s="234" t="s">
        <v>58</v>
      </c>
      <c r="E42" s="252">
        <v>30.5942</v>
      </c>
      <c r="F42" s="179" t="str">
        <f t="shared" si="7"/>
        <v>9.68</v>
      </c>
      <c r="G42" s="253">
        <v>9.68</v>
      </c>
      <c r="H42" s="181" t="str">
        <f t="shared" si="8"/>
        <v>37.39</v>
      </c>
      <c r="I42" s="182" t="str">
        <f t="shared" si="9"/>
        <v>361.93</v>
      </c>
      <c r="J42" s="232"/>
      <c r="K42" s="254"/>
    </row>
    <row r="43" ht="33.0" customHeight="1">
      <c r="A43" s="174" t="s">
        <v>105</v>
      </c>
      <c r="B43" s="200">
        <v>96543.0</v>
      </c>
      <c r="C43" s="220" t="s">
        <v>106</v>
      </c>
      <c r="D43" s="251" t="s">
        <v>107</v>
      </c>
      <c r="E43" s="252">
        <v>15.908</v>
      </c>
      <c r="F43" s="179" t="str">
        <f t="shared" si="7"/>
        <v>101.80</v>
      </c>
      <c r="G43" s="253">
        <v>101.8</v>
      </c>
      <c r="H43" s="181" t="str">
        <f t="shared" si="8"/>
        <v>19.44</v>
      </c>
      <c r="I43" s="182" t="str">
        <f t="shared" si="9"/>
        <v>1,978.99</v>
      </c>
      <c r="J43" s="232"/>
      <c r="K43" s="237"/>
    </row>
    <row r="44" ht="45.0" customHeight="1">
      <c r="A44" s="174" t="s">
        <v>108</v>
      </c>
      <c r="B44" s="200">
        <v>92761.0</v>
      </c>
      <c r="C44" s="220" t="s">
        <v>109</v>
      </c>
      <c r="D44" s="251" t="s">
        <v>107</v>
      </c>
      <c r="E44" s="252">
        <v>12.546000000000001</v>
      </c>
      <c r="F44" s="179" t="str">
        <f t="shared" si="7"/>
        <v>33.10</v>
      </c>
      <c r="G44" s="253">
        <v>33.1</v>
      </c>
      <c r="H44" s="181" t="str">
        <f t="shared" si="8"/>
        <v>15.33</v>
      </c>
      <c r="I44" s="182" t="str">
        <f t="shared" si="9"/>
        <v>507.42</v>
      </c>
      <c r="J44" s="232"/>
      <c r="K44" s="237"/>
    </row>
    <row r="45" ht="42.0" customHeight="1">
      <c r="A45" s="174" t="s">
        <v>110</v>
      </c>
      <c r="B45" s="200">
        <v>92762.0</v>
      </c>
      <c r="C45" s="220" t="s">
        <v>111</v>
      </c>
      <c r="D45" s="251" t="s">
        <v>107</v>
      </c>
      <c r="E45" s="252">
        <v>11.3652</v>
      </c>
      <c r="F45" s="179" t="str">
        <f t="shared" si="7"/>
        <v>368.70</v>
      </c>
      <c r="G45" s="253">
        <v>368.7</v>
      </c>
      <c r="H45" s="181" t="str">
        <f t="shared" si="8"/>
        <v>13.89</v>
      </c>
      <c r="I45" s="182" t="str">
        <f t="shared" si="9"/>
        <v>5,121.24</v>
      </c>
      <c r="J45" s="255"/>
      <c r="K45" s="237"/>
    </row>
    <row r="46" ht="45.0" customHeight="1">
      <c r="A46" s="174" t="s">
        <v>112</v>
      </c>
      <c r="B46" s="200">
        <v>92763.0</v>
      </c>
      <c r="C46" s="220" t="s">
        <v>113</v>
      </c>
      <c r="D46" s="251" t="s">
        <v>107</v>
      </c>
      <c r="E46" s="252">
        <v>9.6432</v>
      </c>
      <c r="F46" s="179" t="str">
        <f t="shared" si="7"/>
        <v>20.00</v>
      </c>
      <c r="G46" s="253">
        <v>20.0</v>
      </c>
      <c r="H46" s="181" t="str">
        <f t="shared" si="8"/>
        <v>11.78</v>
      </c>
      <c r="I46" s="182" t="str">
        <f t="shared" si="9"/>
        <v>235.60</v>
      </c>
      <c r="J46" s="256"/>
      <c r="K46" s="237"/>
    </row>
    <row r="47" ht="14.25" customHeight="1">
      <c r="A47" s="244" t="s">
        <v>114</v>
      </c>
      <c r="B47" s="245"/>
      <c r="C47" s="246" t="s">
        <v>115</v>
      </c>
      <c r="D47" s="245"/>
      <c r="E47" s="247"/>
      <c r="F47" s="248" t="str">
        <f t="shared" si="7"/>
        <v> </v>
      </c>
      <c r="G47" s="249"/>
      <c r="H47" s="249" t="str">
        <f t="shared" si="8"/>
        <v> </v>
      </c>
      <c r="I47" s="250" t="str">
        <f t="shared" si="9"/>
        <v> </v>
      </c>
      <c r="J47" s="173"/>
      <c r="K47" s="232"/>
    </row>
    <row r="48" ht="22.5" customHeight="1">
      <c r="A48" s="174" t="s">
        <v>116</v>
      </c>
      <c r="B48" s="257" t="s">
        <v>117</v>
      </c>
      <c r="C48" s="258" t="s">
        <v>118</v>
      </c>
      <c r="D48" s="234" t="s">
        <v>53</v>
      </c>
      <c r="E48" s="252">
        <v>69.9788</v>
      </c>
      <c r="F48" s="179" t="str">
        <f t="shared" si="7"/>
        <v>13.32</v>
      </c>
      <c r="G48" s="253">
        <v>13.32</v>
      </c>
      <c r="H48" s="181" t="str">
        <f t="shared" si="8"/>
        <v>85.53</v>
      </c>
      <c r="I48" s="182" t="str">
        <f t="shared" si="9"/>
        <v>1,139.25</v>
      </c>
      <c r="J48" s="183" t="str">
        <f>'COMP ESTRUT'!F27</f>
        <v>85.34</v>
      </c>
      <c r="K48" s="232"/>
    </row>
    <row r="49" ht="48.0" customHeight="1">
      <c r="A49" s="174" t="s">
        <v>119</v>
      </c>
      <c r="B49" s="200">
        <v>94965.0</v>
      </c>
      <c r="C49" s="220" t="s">
        <v>120</v>
      </c>
      <c r="D49" s="234" t="s">
        <v>58</v>
      </c>
      <c r="E49" s="252">
        <v>465.76</v>
      </c>
      <c r="F49" s="179" t="str">
        <f t="shared" si="7"/>
        <v>30.34</v>
      </c>
      <c r="G49" s="253">
        <v>30.34</v>
      </c>
      <c r="H49" s="181" t="str">
        <f t="shared" si="8"/>
        <v>569.29</v>
      </c>
      <c r="I49" s="182" t="str">
        <f t="shared" si="9"/>
        <v>17,272.25</v>
      </c>
      <c r="J49" s="259"/>
      <c r="K49" s="232"/>
    </row>
    <row r="50" ht="23.25" customHeight="1">
      <c r="A50" s="174" t="s">
        <v>121</v>
      </c>
      <c r="B50" s="257" t="s">
        <v>122</v>
      </c>
      <c r="C50" s="220" t="s">
        <v>123</v>
      </c>
      <c r="D50" s="234" t="s">
        <v>58</v>
      </c>
      <c r="E50" s="252">
        <v>64.2552</v>
      </c>
      <c r="F50" s="179" t="str">
        <f t="shared" si="7"/>
        <v>30.34</v>
      </c>
      <c r="G50" s="253">
        <v>30.34</v>
      </c>
      <c r="H50" s="181" t="str">
        <f t="shared" si="8"/>
        <v>78.53</v>
      </c>
      <c r="I50" s="182" t="str">
        <f t="shared" si="9"/>
        <v>2,382.60</v>
      </c>
      <c r="J50" s="183" t="str">
        <f>'COMP ESTRUT'!F38</f>
        <v>78.36</v>
      </c>
      <c r="K50" s="232"/>
    </row>
    <row r="51" ht="34.5" customHeight="1">
      <c r="A51" s="174" t="s">
        <v>124</v>
      </c>
      <c r="B51" s="257" t="s">
        <v>125</v>
      </c>
      <c r="C51" s="220" t="s">
        <v>126</v>
      </c>
      <c r="D51" s="251" t="s">
        <v>107</v>
      </c>
      <c r="E51" s="252">
        <v>49.486044699999994</v>
      </c>
      <c r="F51" s="179" t="str">
        <f t="shared" si="7"/>
        <v>482.00</v>
      </c>
      <c r="G51" s="253">
        <v>482.0</v>
      </c>
      <c r="H51" s="181" t="str">
        <f t="shared" si="8"/>
        <v>60.48</v>
      </c>
      <c r="I51" s="182" t="str">
        <f t="shared" si="9"/>
        <v>29,151.36</v>
      </c>
      <c r="J51" s="183" t="str">
        <f>'COMP ESTRUT'!F57</f>
        <v>60.35</v>
      </c>
      <c r="K51" s="232"/>
    </row>
    <row r="52" ht="14.25" customHeight="1">
      <c r="A52" s="244" t="s">
        <v>127</v>
      </c>
      <c r="B52" s="245"/>
      <c r="C52" s="246" t="s">
        <v>128</v>
      </c>
      <c r="D52" s="245"/>
      <c r="E52" s="247"/>
      <c r="F52" s="248" t="str">
        <f t="shared" si="7"/>
        <v> </v>
      </c>
      <c r="G52" s="249"/>
      <c r="H52" s="249" t="str">
        <f t="shared" si="8"/>
        <v> </v>
      </c>
      <c r="I52" s="250" t="str">
        <f t="shared" si="9"/>
        <v> </v>
      </c>
      <c r="J52" s="260" t="s">
        <v>129</v>
      </c>
      <c r="K52" s="237"/>
    </row>
    <row r="53" ht="48.75" customHeight="1">
      <c r="A53" s="261" t="s">
        <v>130</v>
      </c>
      <c r="B53" s="200">
        <v>92522.0</v>
      </c>
      <c r="C53" s="176" t="s">
        <v>131</v>
      </c>
      <c r="D53" s="251" t="s">
        <v>53</v>
      </c>
      <c r="E53" s="252">
        <v>39.22880000000001</v>
      </c>
      <c r="F53" s="179" t="str">
        <f t="shared" si="7"/>
        <v>61.40</v>
      </c>
      <c r="G53" s="253">
        <v>61.4</v>
      </c>
      <c r="H53" s="181" t="str">
        <f t="shared" si="8"/>
        <v>47.94</v>
      </c>
      <c r="I53" s="182" t="str">
        <f t="shared" si="9"/>
        <v>2,943.51</v>
      </c>
      <c r="J53" s="173"/>
      <c r="K53" s="260"/>
    </row>
    <row r="54" ht="48.0" customHeight="1">
      <c r="A54" s="261" t="s">
        <v>132</v>
      </c>
      <c r="B54" s="200">
        <v>94965.0</v>
      </c>
      <c r="C54" s="220" t="s">
        <v>120</v>
      </c>
      <c r="D54" s="234" t="s">
        <v>58</v>
      </c>
      <c r="E54" s="252">
        <v>465.76</v>
      </c>
      <c r="F54" s="179" t="str">
        <f t="shared" si="7"/>
        <v>11.07</v>
      </c>
      <c r="G54" s="253">
        <v>11.07</v>
      </c>
      <c r="H54" s="181" t="str">
        <f t="shared" si="8"/>
        <v>569.29</v>
      </c>
      <c r="I54" s="182" t="str">
        <f t="shared" si="9"/>
        <v>6,302.04</v>
      </c>
      <c r="J54" s="262"/>
      <c r="K54" s="260"/>
    </row>
    <row r="55" ht="33.75" customHeight="1">
      <c r="A55" s="261" t="s">
        <v>133</v>
      </c>
      <c r="B55" s="200">
        <v>103673.0</v>
      </c>
      <c r="C55" s="176" t="s">
        <v>104</v>
      </c>
      <c r="D55" s="234" t="s">
        <v>58</v>
      </c>
      <c r="E55" s="252">
        <v>30.5942</v>
      </c>
      <c r="F55" s="179" t="str">
        <f t="shared" si="7"/>
        <v>11.07</v>
      </c>
      <c r="G55" s="253">
        <v>11.07</v>
      </c>
      <c r="H55" s="181" t="str">
        <f t="shared" si="8"/>
        <v>37.39</v>
      </c>
      <c r="I55" s="182" t="str">
        <f t="shared" si="9"/>
        <v>413.90</v>
      </c>
      <c r="J55" s="262"/>
      <c r="K55" s="260"/>
    </row>
    <row r="56" ht="33.75" customHeight="1">
      <c r="A56" s="261" t="s">
        <v>134</v>
      </c>
      <c r="B56" s="200">
        <v>92768.0</v>
      </c>
      <c r="C56" s="176" t="s">
        <v>135</v>
      </c>
      <c r="D56" s="251" t="s">
        <v>107</v>
      </c>
      <c r="E56" s="252">
        <v>12.915</v>
      </c>
      <c r="F56" s="179" t="str">
        <f t="shared" si="7"/>
        <v>113.63</v>
      </c>
      <c r="G56" s="253">
        <v>113.63</v>
      </c>
      <c r="H56" s="181" t="str">
        <f t="shared" si="8"/>
        <v>15.78</v>
      </c>
      <c r="I56" s="182" t="str">
        <f t="shared" si="9"/>
        <v>1,793.08</v>
      </c>
      <c r="J56" s="262"/>
      <c r="K56" s="260"/>
    </row>
    <row r="57" ht="36.0" customHeight="1">
      <c r="A57" s="261" t="s">
        <v>136</v>
      </c>
      <c r="B57" s="200">
        <v>92769.0</v>
      </c>
      <c r="C57" s="176" t="s">
        <v>137</v>
      </c>
      <c r="D57" s="251" t="s">
        <v>107</v>
      </c>
      <c r="E57" s="252">
        <v>12.6362</v>
      </c>
      <c r="F57" s="179" t="str">
        <f t="shared" si="7"/>
        <v>322.00</v>
      </c>
      <c r="G57" s="253">
        <v>322.0</v>
      </c>
      <c r="H57" s="181" t="str">
        <f t="shared" si="8"/>
        <v>15.44</v>
      </c>
      <c r="I57" s="182" t="str">
        <f t="shared" si="9"/>
        <v>4,971.68</v>
      </c>
      <c r="J57" s="262"/>
      <c r="K57" s="260"/>
    </row>
    <row r="58" ht="33.75" customHeight="1">
      <c r="A58" s="261" t="s">
        <v>138</v>
      </c>
      <c r="B58" s="200">
        <v>92770.0</v>
      </c>
      <c r="C58" s="176" t="s">
        <v>139</v>
      </c>
      <c r="D58" s="251" t="s">
        <v>107</v>
      </c>
      <c r="E58" s="252">
        <v>12.1852</v>
      </c>
      <c r="F58" s="179" t="str">
        <f t="shared" si="7"/>
        <v>28.07</v>
      </c>
      <c r="G58" s="253">
        <v>28.07</v>
      </c>
      <c r="H58" s="181" t="str">
        <f t="shared" si="8"/>
        <v>14.89</v>
      </c>
      <c r="I58" s="182" t="str">
        <f t="shared" si="9"/>
        <v>417.96</v>
      </c>
      <c r="J58" s="262"/>
      <c r="K58" s="260"/>
    </row>
    <row r="59" ht="36.75" customHeight="1">
      <c r="A59" s="261" t="s">
        <v>140</v>
      </c>
      <c r="B59" s="200">
        <v>102730.0</v>
      </c>
      <c r="C59" s="176" t="s">
        <v>141</v>
      </c>
      <c r="D59" s="251" t="s">
        <v>107</v>
      </c>
      <c r="E59" s="252">
        <v>12.0048</v>
      </c>
      <c r="F59" s="179" t="str">
        <f t="shared" si="7"/>
        <v>103.30</v>
      </c>
      <c r="G59" s="253">
        <v>103.3</v>
      </c>
      <c r="H59" s="181" t="str">
        <f t="shared" si="8"/>
        <v>14.67</v>
      </c>
      <c r="I59" s="182" t="str">
        <f t="shared" si="9"/>
        <v>1,515.41</v>
      </c>
      <c r="J59" s="262"/>
      <c r="K59" s="260"/>
    </row>
    <row r="60" ht="36.75" customHeight="1">
      <c r="A60" s="261" t="s">
        <v>142</v>
      </c>
      <c r="B60" s="200">
        <v>102731.0</v>
      </c>
      <c r="C60" s="176" t="s">
        <v>143</v>
      </c>
      <c r="D60" s="251" t="s">
        <v>107</v>
      </c>
      <c r="E60" s="252">
        <v>10.1762</v>
      </c>
      <c r="F60" s="179" t="str">
        <f t="shared" si="7"/>
        <v>114.30</v>
      </c>
      <c r="G60" s="253">
        <v>114.3</v>
      </c>
      <c r="H60" s="181" t="str">
        <f t="shared" si="8"/>
        <v>12.43</v>
      </c>
      <c r="I60" s="182" t="str">
        <f t="shared" si="9"/>
        <v>1,420.74</v>
      </c>
      <c r="J60" s="262"/>
      <c r="K60" s="260"/>
    </row>
    <row r="61" ht="15.0" customHeight="1">
      <c r="A61" s="244" t="s">
        <v>144</v>
      </c>
      <c r="B61" s="245"/>
      <c r="C61" s="246" t="s">
        <v>145</v>
      </c>
      <c r="D61" s="245"/>
      <c r="E61" s="247"/>
      <c r="F61" s="248" t="str">
        <f t="shared" si="7"/>
        <v> </v>
      </c>
      <c r="G61" s="249"/>
      <c r="H61" s="249" t="str">
        <f t="shared" si="8"/>
        <v> </v>
      </c>
      <c r="I61" s="250" t="str">
        <f t="shared" si="9"/>
        <v> </v>
      </c>
      <c r="J61" s="173"/>
      <c r="K61" s="260"/>
    </row>
    <row r="62" ht="31.5" customHeight="1">
      <c r="A62" s="261" t="s">
        <v>146</v>
      </c>
      <c r="B62" s="257" t="s">
        <v>147</v>
      </c>
      <c r="C62" s="176" t="s">
        <v>148</v>
      </c>
      <c r="D62" s="177" t="s">
        <v>53</v>
      </c>
      <c r="E62" s="252">
        <v>132.184</v>
      </c>
      <c r="F62" s="179" t="str">
        <f t="shared" si="7"/>
        <v>209.00</v>
      </c>
      <c r="G62" s="253">
        <v>209.0</v>
      </c>
      <c r="H62" s="181" t="str">
        <f t="shared" si="8"/>
        <v>161.56</v>
      </c>
      <c r="I62" s="182" t="str">
        <f t="shared" si="9"/>
        <v>33,766.04</v>
      </c>
      <c r="J62" s="183" t="str">
        <f>'COMP ESTRUT'!F75</f>
        <v>161.20</v>
      </c>
      <c r="K62" s="211" t="s">
        <v>149</v>
      </c>
    </row>
    <row r="63" ht="35.25" customHeight="1">
      <c r="A63" s="261" t="s">
        <v>150</v>
      </c>
      <c r="B63" s="200">
        <v>92768.0</v>
      </c>
      <c r="C63" s="176" t="s">
        <v>135</v>
      </c>
      <c r="D63" s="251" t="s">
        <v>107</v>
      </c>
      <c r="E63" s="252">
        <v>12.915</v>
      </c>
      <c r="F63" s="179" t="str">
        <f t="shared" si="7"/>
        <v>97.45</v>
      </c>
      <c r="G63" s="253">
        <v>97.45</v>
      </c>
      <c r="H63" s="181" t="str">
        <f t="shared" si="8"/>
        <v>15.78</v>
      </c>
      <c r="I63" s="182" t="str">
        <f t="shared" si="9"/>
        <v>1,537.76</v>
      </c>
      <c r="J63" s="260"/>
      <c r="K63" s="237"/>
    </row>
    <row r="64" ht="35.25" customHeight="1">
      <c r="A64" s="261" t="s">
        <v>151</v>
      </c>
      <c r="B64" s="200">
        <v>92769.0</v>
      </c>
      <c r="C64" s="176" t="s">
        <v>137</v>
      </c>
      <c r="D64" s="251" t="s">
        <v>107</v>
      </c>
      <c r="E64" s="252">
        <v>12.6362</v>
      </c>
      <c r="F64" s="179" t="str">
        <f t="shared" si="7"/>
        <v>160.00</v>
      </c>
      <c r="G64" s="253">
        <v>160.0</v>
      </c>
      <c r="H64" s="181" t="str">
        <f t="shared" si="8"/>
        <v>15.44</v>
      </c>
      <c r="I64" s="182" t="str">
        <f t="shared" si="9"/>
        <v>2,470.40</v>
      </c>
      <c r="J64" s="260"/>
      <c r="K64" s="237"/>
    </row>
    <row r="65" ht="37.5" customHeight="1">
      <c r="A65" s="261" t="s">
        <v>152</v>
      </c>
      <c r="B65" s="200">
        <v>92770.0</v>
      </c>
      <c r="C65" s="176" t="s">
        <v>139</v>
      </c>
      <c r="D65" s="251" t="s">
        <v>107</v>
      </c>
      <c r="E65" s="252">
        <v>12.1852</v>
      </c>
      <c r="F65" s="179" t="str">
        <f t="shared" si="7"/>
        <v>73.03</v>
      </c>
      <c r="G65" s="253">
        <v>73.03</v>
      </c>
      <c r="H65" s="181" t="str">
        <f t="shared" si="8"/>
        <v>14.89</v>
      </c>
      <c r="I65" s="182" t="str">
        <f t="shared" si="9"/>
        <v>1,087.41</v>
      </c>
      <c r="J65" s="260"/>
      <c r="K65" s="263"/>
    </row>
    <row r="66" ht="35.25" customHeight="1">
      <c r="A66" s="261" t="s">
        <v>153</v>
      </c>
      <c r="B66" s="200">
        <v>102730.0</v>
      </c>
      <c r="C66" s="176" t="s">
        <v>141</v>
      </c>
      <c r="D66" s="251" t="s">
        <v>107</v>
      </c>
      <c r="E66" s="252">
        <v>12.0048</v>
      </c>
      <c r="F66" s="179" t="str">
        <f t="shared" si="7"/>
        <v>11.80</v>
      </c>
      <c r="G66" s="253">
        <v>11.8</v>
      </c>
      <c r="H66" s="181" t="str">
        <f t="shared" si="8"/>
        <v>14.67</v>
      </c>
      <c r="I66" s="182" t="str">
        <f t="shared" si="9"/>
        <v>173.10</v>
      </c>
      <c r="J66" s="260"/>
      <c r="K66" s="264"/>
    </row>
    <row r="67" ht="14.25" customHeight="1">
      <c r="A67" s="244" t="s">
        <v>144</v>
      </c>
      <c r="B67" s="245"/>
      <c r="C67" s="246" t="s">
        <v>154</v>
      </c>
      <c r="D67" s="245"/>
      <c r="E67" s="247"/>
      <c r="F67" s="248" t="str">
        <f t="shared" si="7"/>
        <v> </v>
      </c>
      <c r="G67" s="249"/>
      <c r="H67" s="249" t="str">
        <f t="shared" si="8"/>
        <v> </v>
      </c>
      <c r="I67" s="250" t="str">
        <f t="shared" si="9"/>
        <v> </v>
      </c>
      <c r="J67" s="173"/>
      <c r="K67" s="232"/>
    </row>
    <row r="68" ht="53.25" customHeight="1">
      <c r="A68" s="261" t="s">
        <v>146</v>
      </c>
      <c r="B68" s="200">
        <v>92431.0</v>
      </c>
      <c r="C68" s="176" t="s">
        <v>155</v>
      </c>
      <c r="D68" s="251" t="s">
        <v>53</v>
      </c>
      <c r="E68" s="252">
        <v>54.611999999999995</v>
      </c>
      <c r="F68" s="179" t="str">
        <f t="shared" si="7"/>
        <v>193.57</v>
      </c>
      <c r="G68" s="253">
        <v>193.57</v>
      </c>
      <c r="H68" s="181" t="str">
        <f t="shared" si="8"/>
        <v>66.75</v>
      </c>
      <c r="I68" s="182" t="str">
        <f t="shared" si="9"/>
        <v>12,920.79</v>
      </c>
      <c r="J68" s="260"/>
      <c r="K68" s="232"/>
    </row>
    <row r="69" ht="48.0" customHeight="1">
      <c r="A69" s="261" t="s">
        <v>150</v>
      </c>
      <c r="B69" s="200">
        <v>94965.0</v>
      </c>
      <c r="C69" s="220" t="s">
        <v>120</v>
      </c>
      <c r="D69" s="234" t="s">
        <v>58</v>
      </c>
      <c r="E69" s="252">
        <v>465.76</v>
      </c>
      <c r="F69" s="179" t="str">
        <f t="shared" si="7"/>
        <v>10.77</v>
      </c>
      <c r="G69" s="253">
        <v>10.77</v>
      </c>
      <c r="H69" s="181" t="str">
        <f t="shared" si="8"/>
        <v>569.29</v>
      </c>
      <c r="I69" s="182" t="str">
        <f t="shared" si="9"/>
        <v>6,131.25</v>
      </c>
      <c r="J69" s="260"/>
      <c r="K69" s="232"/>
    </row>
    <row r="70" ht="14.25" customHeight="1">
      <c r="A70" s="261" t="s">
        <v>151</v>
      </c>
      <c r="B70" s="200">
        <v>103673.0</v>
      </c>
      <c r="C70" s="176" t="s">
        <v>104</v>
      </c>
      <c r="D70" s="234" t="s">
        <v>58</v>
      </c>
      <c r="E70" s="252">
        <v>30.5942</v>
      </c>
      <c r="F70" s="179" t="str">
        <f t="shared" si="7"/>
        <v>10.77</v>
      </c>
      <c r="G70" s="253">
        <v>10.77</v>
      </c>
      <c r="H70" s="181" t="str">
        <f t="shared" si="8"/>
        <v>37.39</v>
      </c>
      <c r="I70" s="182" t="str">
        <f t="shared" si="9"/>
        <v>402.69</v>
      </c>
      <c r="J70" s="260"/>
      <c r="K70" s="232"/>
    </row>
    <row r="71" ht="46.5" customHeight="1">
      <c r="A71" s="261" t="s">
        <v>152</v>
      </c>
      <c r="B71" s="200">
        <v>92759.0</v>
      </c>
      <c r="C71" s="176" t="s">
        <v>156</v>
      </c>
      <c r="D71" s="251" t="s">
        <v>107</v>
      </c>
      <c r="E71" s="252">
        <v>14.0302</v>
      </c>
      <c r="F71" s="179" t="str">
        <f t="shared" si="7"/>
        <v>254.90</v>
      </c>
      <c r="G71" s="253">
        <v>254.9</v>
      </c>
      <c r="H71" s="181" t="str">
        <f t="shared" si="8"/>
        <v>17.14</v>
      </c>
      <c r="I71" s="182" t="str">
        <f t="shared" si="9"/>
        <v>4,368.98</v>
      </c>
      <c r="J71" s="265"/>
      <c r="K71" s="232"/>
    </row>
    <row r="72" ht="43.5" customHeight="1">
      <c r="A72" s="261" t="s">
        <v>153</v>
      </c>
      <c r="B72" s="200">
        <v>92762.0</v>
      </c>
      <c r="C72" s="176" t="s">
        <v>111</v>
      </c>
      <c r="D72" s="251" t="s">
        <v>107</v>
      </c>
      <c r="E72" s="252">
        <v>12.6362</v>
      </c>
      <c r="F72" s="179" t="str">
        <f t="shared" si="7"/>
        <v>574.10</v>
      </c>
      <c r="G72" s="253">
        <v>574.1</v>
      </c>
      <c r="H72" s="181" t="str">
        <f t="shared" si="8"/>
        <v>15.44</v>
      </c>
      <c r="I72" s="182" t="str">
        <f t="shared" si="9"/>
        <v>8,864.10</v>
      </c>
      <c r="J72" s="265"/>
      <c r="K72" s="232"/>
    </row>
    <row r="73" ht="44.25" customHeight="1">
      <c r="A73" s="261" t="s">
        <v>157</v>
      </c>
      <c r="B73" s="200">
        <v>92763.0</v>
      </c>
      <c r="C73" s="176" t="s">
        <v>113</v>
      </c>
      <c r="D73" s="251" t="s">
        <v>107</v>
      </c>
      <c r="E73" s="252">
        <v>9.6432</v>
      </c>
      <c r="F73" s="179" t="str">
        <f t="shared" si="7"/>
        <v>11.10</v>
      </c>
      <c r="G73" s="253">
        <v>11.1</v>
      </c>
      <c r="H73" s="181" t="str">
        <f t="shared" si="8"/>
        <v>11.78</v>
      </c>
      <c r="I73" s="182" t="str">
        <f t="shared" si="9"/>
        <v>130.75</v>
      </c>
      <c r="J73" s="265"/>
      <c r="K73" s="232"/>
    </row>
    <row r="74" ht="44.25" customHeight="1">
      <c r="A74" s="261" t="s">
        <v>158</v>
      </c>
      <c r="B74" s="200">
        <v>92764.0</v>
      </c>
      <c r="C74" s="176" t="s">
        <v>159</v>
      </c>
      <c r="D74" s="251" t="s">
        <v>107</v>
      </c>
      <c r="E74" s="252">
        <v>9.421800000000001</v>
      </c>
      <c r="F74" s="179" t="str">
        <f t="shared" si="7"/>
        <v>428.30</v>
      </c>
      <c r="G74" s="253">
        <v>428.3</v>
      </c>
      <c r="H74" s="181" t="str">
        <f t="shared" si="8"/>
        <v>11.51</v>
      </c>
      <c r="I74" s="182" t="str">
        <f t="shared" si="9"/>
        <v>4,929.73</v>
      </c>
      <c r="J74" s="265"/>
      <c r="K74" s="265"/>
    </row>
    <row r="75" ht="14.25" customHeight="1">
      <c r="A75" s="244" t="s">
        <v>160</v>
      </c>
      <c r="B75" s="245"/>
      <c r="C75" s="246" t="s">
        <v>161</v>
      </c>
      <c r="D75" s="245"/>
      <c r="E75" s="247"/>
      <c r="F75" s="248" t="str">
        <f t="shared" si="7"/>
        <v> </v>
      </c>
      <c r="G75" s="249"/>
      <c r="H75" s="249" t="str">
        <f t="shared" si="8"/>
        <v> </v>
      </c>
      <c r="I75" s="250" t="str">
        <f t="shared" si="9"/>
        <v> </v>
      </c>
      <c r="J75" s="173"/>
      <c r="K75" s="232"/>
    </row>
    <row r="76" ht="48.0" customHeight="1">
      <c r="A76" s="261" t="s">
        <v>162</v>
      </c>
      <c r="B76" s="200">
        <v>92479.0</v>
      </c>
      <c r="C76" s="176" t="s">
        <v>163</v>
      </c>
      <c r="D76" s="251" t="s">
        <v>53</v>
      </c>
      <c r="E76" s="252">
        <v>65.9854</v>
      </c>
      <c r="F76" s="179" t="str">
        <f t="shared" si="7"/>
        <v>164.63</v>
      </c>
      <c r="G76" s="253">
        <v>164.63</v>
      </c>
      <c r="H76" s="181" t="str">
        <f t="shared" si="8"/>
        <v>80.65</v>
      </c>
      <c r="I76" s="182" t="str">
        <f t="shared" si="9"/>
        <v>13,277.40</v>
      </c>
      <c r="J76" s="266"/>
      <c r="K76" s="232"/>
    </row>
    <row r="77" ht="46.5" customHeight="1">
      <c r="A77" s="261" t="s">
        <v>164</v>
      </c>
      <c r="B77" s="200">
        <v>94965.0</v>
      </c>
      <c r="C77" s="220" t="s">
        <v>120</v>
      </c>
      <c r="D77" s="234" t="s">
        <v>58</v>
      </c>
      <c r="E77" s="252">
        <v>465.76</v>
      </c>
      <c r="F77" s="179" t="str">
        <f t="shared" si="7"/>
        <v>10.77</v>
      </c>
      <c r="G77" s="253">
        <v>10.77</v>
      </c>
      <c r="H77" s="181" t="str">
        <f t="shared" si="8"/>
        <v>569.29</v>
      </c>
      <c r="I77" s="182" t="str">
        <f t="shared" si="9"/>
        <v>6,131.25</v>
      </c>
      <c r="J77" s="266"/>
      <c r="K77" s="232"/>
    </row>
    <row r="78" ht="30.75" customHeight="1">
      <c r="A78" s="261" t="s">
        <v>165</v>
      </c>
      <c r="B78" s="200">
        <v>103673.0</v>
      </c>
      <c r="C78" s="176" t="s">
        <v>104</v>
      </c>
      <c r="D78" s="234" t="s">
        <v>58</v>
      </c>
      <c r="E78" s="252">
        <v>30.5942</v>
      </c>
      <c r="F78" s="179" t="str">
        <f t="shared" si="7"/>
        <v>10.77</v>
      </c>
      <c r="G78" s="253">
        <v>10.77</v>
      </c>
      <c r="H78" s="181" t="str">
        <f t="shared" si="8"/>
        <v>37.39</v>
      </c>
      <c r="I78" s="182" t="str">
        <f t="shared" si="9"/>
        <v>402.69</v>
      </c>
      <c r="J78" s="266"/>
      <c r="K78" s="232"/>
    </row>
    <row r="79" ht="48.0" customHeight="1">
      <c r="A79" s="261" t="s">
        <v>166</v>
      </c>
      <c r="B79" s="200">
        <v>92759.0</v>
      </c>
      <c r="C79" s="176" t="s">
        <v>167</v>
      </c>
      <c r="D79" s="251" t="s">
        <v>107</v>
      </c>
      <c r="E79" s="252">
        <v>13.2758</v>
      </c>
      <c r="F79" s="179" t="str">
        <f t="shared" si="7"/>
        <v>137.90</v>
      </c>
      <c r="G79" s="253">
        <v>137.9</v>
      </c>
      <c r="H79" s="181" t="str">
        <f t="shared" si="8"/>
        <v>16.22</v>
      </c>
      <c r="I79" s="182" t="str">
        <f t="shared" si="9"/>
        <v>2,236.73</v>
      </c>
      <c r="J79" s="266"/>
      <c r="K79" s="263"/>
    </row>
    <row r="80" ht="44.25" customHeight="1">
      <c r="A80" s="261" t="s">
        <v>168</v>
      </c>
      <c r="B80" s="200">
        <v>92760.0</v>
      </c>
      <c r="C80" s="176" t="s">
        <v>169</v>
      </c>
      <c r="D80" s="251" t="s">
        <v>107</v>
      </c>
      <c r="E80" s="252">
        <v>13.013399999999999</v>
      </c>
      <c r="F80" s="179" t="str">
        <f t="shared" si="7"/>
        <v>131.50</v>
      </c>
      <c r="G80" s="253">
        <v>131.5</v>
      </c>
      <c r="H80" s="181" t="str">
        <f t="shared" si="8"/>
        <v>15.90</v>
      </c>
      <c r="I80" s="182" t="str">
        <f t="shared" si="9"/>
        <v>2,090.85</v>
      </c>
      <c r="J80" s="266"/>
      <c r="K80" s="263"/>
    </row>
    <row r="81" ht="48.0" customHeight="1">
      <c r="A81" s="261" t="s">
        <v>170</v>
      </c>
      <c r="B81" s="200">
        <v>92761.0</v>
      </c>
      <c r="C81" s="176" t="s">
        <v>109</v>
      </c>
      <c r="D81" s="251" t="s">
        <v>107</v>
      </c>
      <c r="E81" s="252">
        <v>12.546000000000001</v>
      </c>
      <c r="F81" s="179" t="str">
        <f t="shared" si="7"/>
        <v>54.80</v>
      </c>
      <c r="G81" s="253">
        <v>54.8</v>
      </c>
      <c r="H81" s="181" t="str">
        <f t="shared" si="8"/>
        <v>15.33</v>
      </c>
      <c r="I81" s="182" t="str">
        <f t="shared" si="9"/>
        <v>840.08</v>
      </c>
      <c r="J81" s="266"/>
      <c r="K81" s="263"/>
    </row>
    <row r="82" ht="45.0" customHeight="1">
      <c r="A82" s="261" t="s">
        <v>171</v>
      </c>
      <c r="B82" s="200">
        <v>92762.0</v>
      </c>
      <c r="C82" s="176" t="s">
        <v>111</v>
      </c>
      <c r="D82" s="251" t="s">
        <v>107</v>
      </c>
      <c r="E82" s="252">
        <v>11.389800000000001</v>
      </c>
      <c r="F82" s="179" t="str">
        <f t="shared" si="7"/>
        <v>329.40</v>
      </c>
      <c r="G82" s="253">
        <v>329.4</v>
      </c>
      <c r="H82" s="181" t="str">
        <f t="shared" si="8"/>
        <v>13.92</v>
      </c>
      <c r="I82" s="182" t="str">
        <f t="shared" si="9"/>
        <v>4,585.24</v>
      </c>
      <c r="J82" s="267"/>
      <c r="K82" s="263"/>
    </row>
    <row r="83" ht="44.25" customHeight="1">
      <c r="A83" s="261" t="s">
        <v>172</v>
      </c>
      <c r="B83" s="200">
        <v>92763.0</v>
      </c>
      <c r="C83" s="176" t="s">
        <v>113</v>
      </c>
      <c r="D83" s="251" t="s">
        <v>107</v>
      </c>
      <c r="E83" s="252">
        <v>9.6432</v>
      </c>
      <c r="F83" s="179" t="str">
        <f t="shared" si="7"/>
        <v>21.50</v>
      </c>
      <c r="G83" s="253">
        <v>21.5</v>
      </c>
      <c r="H83" s="181" t="str">
        <f t="shared" si="8"/>
        <v>11.78</v>
      </c>
      <c r="I83" s="182" t="str">
        <f t="shared" si="9"/>
        <v>253.27</v>
      </c>
      <c r="J83" s="267"/>
      <c r="K83" s="263"/>
    </row>
    <row r="84" ht="45.75" customHeight="1">
      <c r="A84" s="261" t="s">
        <v>173</v>
      </c>
      <c r="B84" s="200">
        <v>92764.0</v>
      </c>
      <c r="C84" s="221" t="s">
        <v>159</v>
      </c>
      <c r="D84" s="251" t="s">
        <v>107</v>
      </c>
      <c r="E84" s="252">
        <v>9.421800000000001</v>
      </c>
      <c r="F84" s="179" t="str">
        <f t="shared" si="7"/>
        <v>90.40</v>
      </c>
      <c r="G84" s="253">
        <v>90.4</v>
      </c>
      <c r="H84" s="181" t="str">
        <f t="shared" si="8"/>
        <v>11.51</v>
      </c>
      <c r="I84" s="182" t="str">
        <f t="shared" si="9"/>
        <v>1,040.50</v>
      </c>
      <c r="J84" s="267"/>
      <c r="K84" s="263"/>
    </row>
    <row r="85" ht="49.5" customHeight="1">
      <c r="A85" s="261" t="s">
        <v>174</v>
      </c>
      <c r="B85" s="200">
        <v>92765.0</v>
      </c>
      <c r="C85" s="176" t="s">
        <v>175</v>
      </c>
      <c r="D85" s="251" t="s">
        <v>107</v>
      </c>
      <c r="E85" s="252">
        <v>10.824</v>
      </c>
      <c r="F85" s="179" t="str">
        <f t="shared" si="7"/>
        <v>40.20</v>
      </c>
      <c r="G85" s="253">
        <v>40.2</v>
      </c>
      <c r="H85" s="181" t="str">
        <f t="shared" si="8"/>
        <v>13.23</v>
      </c>
      <c r="I85" s="182" t="str">
        <f t="shared" si="9"/>
        <v>531.84</v>
      </c>
      <c r="J85" s="267"/>
      <c r="K85" s="204"/>
    </row>
    <row r="86" ht="18.75" customHeight="1">
      <c r="A86" s="244" t="s">
        <v>176</v>
      </c>
      <c r="B86" s="245"/>
      <c r="C86" s="246" t="s">
        <v>177</v>
      </c>
      <c r="D86" s="245"/>
      <c r="E86" s="247"/>
      <c r="F86" s="248" t="str">
        <f t="shared" si="7"/>
        <v> </v>
      </c>
      <c r="G86" s="249"/>
      <c r="H86" s="249" t="str">
        <f t="shared" si="8"/>
        <v> </v>
      </c>
      <c r="I86" s="250" t="str">
        <f t="shared" si="9"/>
        <v> </v>
      </c>
      <c r="J86" s="173"/>
      <c r="K86" s="232"/>
    </row>
    <row r="87" ht="41.25" customHeight="1">
      <c r="A87" s="268" t="s">
        <v>178</v>
      </c>
      <c r="B87" s="200">
        <v>92479.0</v>
      </c>
      <c r="C87" s="176" t="s">
        <v>163</v>
      </c>
      <c r="D87" s="251" t="s">
        <v>53</v>
      </c>
      <c r="E87" s="252">
        <v>65.9854</v>
      </c>
      <c r="F87" s="269" t="str">
        <f t="shared" si="7"/>
        <v>32.53</v>
      </c>
      <c r="G87" s="270">
        <v>32.53</v>
      </c>
      <c r="H87" s="271" t="str">
        <f t="shared" si="8"/>
        <v>80.65</v>
      </c>
      <c r="I87" s="272" t="str">
        <f t="shared" si="9"/>
        <v>2,623.54</v>
      </c>
      <c r="J87" s="273"/>
      <c r="K87" s="232"/>
    </row>
    <row r="88" ht="47.25" customHeight="1">
      <c r="A88" s="268" t="s">
        <v>179</v>
      </c>
      <c r="B88" s="200">
        <v>94965.0</v>
      </c>
      <c r="C88" s="220" t="s">
        <v>120</v>
      </c>
      <c r="D88" s="234" t="s">
        <v>58</v>
      </c>
      <c r="E88" s="252">
        <v>465.76</v>
      </c>
      <c r="F88" s="269" t="str">
        <f t="shared" si="7"/>
        <v>1.88</v>
      </c>
      <c r="G88" s="270">
        <v>1.88</v>
      </c>
      <c r="H88" s="271" t="str">
        <f t="shared" si="8"/>
        <v>569.29</v>
      </c>
      <c r="I88" s="272" t="str">
        <f t="shared" si="9"/>
        <v>1,070.26</v>
      </c>
      <c r="J88" s="273"/>
      <c r="K88" s="232"/>
    </row>
    <row r="89" ht="33.75" customHeight="1">
      <c r="A89" s="268" t="s">
        <v>180</v>
      </c>
      <c r="B89" s="200">
        <v>103673.0</v>
      </c>
      <c r="C89" s="176" t="s">
        <v>104</v>
      </c>
      <c r="D89" s="234" t="s">
        <v>58</v>
      </c>
      <c r="E89" s="252">
        <v>30.5942</v>
      </c>
      <c r="F89" s="269" t="str">
        <f t="shared" si="7"/>
        <v>1.88</v>
      </c>
      <c r="G89" s="270">
        <v>1.88</v>
      </c>
      <c r="H89" s="271" t="str">
        <f t="shared" si="8"/>
        <v>37.39</v>
      </c>
      <c r="I89" s="272" t="str">
        <f t="shared" si="9"/>
        <v>70.29</v>
      </c>
      <c r="J89" s="273"/>
      <c r="K89" s="232"/>
    </row>
    <row r="90" ht="50.25" customHeight="1">
      <c r="A90" s="268" t="s">
        <v>181</v>
      </c>
      <c r="B90" s="200">
        <v>92759.0</v>
      </c>
      <c r="C90" s="176" t="s">
        <v>167</v>
      </c>
      <c r="D90" s="251" t="s">
        <v>107</v>
      </c>
      <c r="E90" s="252">
        <v>13.2758</v>
      </c>
      <c r="F90" s="269" t="str">
        <f t="shared" si="7"/>
        <v>34.10</v>
      </c>
      <c r="G90" s="270">
        <v>34.1</v>
      </c>
      <c r="H90" s="271" t="str">
        <f t="shared" si="8"/>
        <v>16.22</v>
      </c>
      <c r="I90" s="272" t="str">
        <f t="shared" si="9"/>
        <v>553.10</v>
      </c>
      <c r="J90" s="273"/>
      <c r="K90" s="232"/>
    </row>
    <row r="91" ht="41.25" customHeight="1">
      <c r="A91" s="268" t="s">
        <v>182</v>
      </c>
      <c r="B91" s="200">
        <v>92761.0</v>
      </c>
      <c r="C91" s="176" t="s">
        <v>183</v>
      </c>
      <c r="D91" s="251" t="s">
        <v>107</v>
      </c>
      <c r="E91" s="252">
        <v>12.546000000000001</v>
      </c>
      <c r="F91" s="269" t="str">
        <f t="shared" si="7"/>
        <v>73.70</v>
      </c>
      <c r="G91" s="270">
        <v>73.7</v>
      </c>
      <c r="H91" s="271" t="str">
        <f t="shared" si="8"/>
        <v>15.33</v>
      </c>
      <c r="I91" s="272" t="str">
        <f t="shared" si="9"/>
        <v>1,129.82</v>
      </c>
      <c r="J91" s="273"/>
      <c r="K91" s="232"/>
    </row>
    <row r="92" ht="18.75" customHeight="1">
      <c r="A92" s="274"/>
      <c r="B92" s="188"/>
      <c r="C92" s="275"/>
      <c r="D92" s="276"/>
      <c r="E92" s="252"/>
      <c r="F92" s="277"/>
      <c r="G92" s="278"/>
      <c r="H92" s="192" t="s">
        <v>47</v>
      </c>
      <c r="I92" s="193" t="str">
        <f>TRUNC(SUM(I40:I91),2)</f>
        <v>208,713.45</v>
      </c>
      <c r="J92" s="273"/>
      <c r="K92" s="232"/>
    </row>
    <row r="93" ht="14.25" customHeight="1">
      <c r="A93" s="166">
        <v>5.0</v>
      </c>
      <c r="B93" s="167"/>
      <c r="C93" s="168" t="s">
        <v>184</v>
      </c>
      <c r="D93" s="169"/>
      <c r="E93" s="195"/>
      <c r="F93" s="196"/>
      <c r="G93" s="197"/>
      <c r="H93" s="197"/>
      <c r="I93" s="172"/>
      <c r="J93" s="206" t="s">
        <v>49</v>
      </c>
      <c r="K93" s="232"/>
    </row>
    <row r="94" ht="47.25" customHeight="1">
      <c r="A94" s="279" t="s">
        <v>185</v>
      </c>
      <c r="B94" s="200">
        <v>103332.0</v>
      </c>
      <c r="C94" s="176" t="s">
        <v>186</v>
      </c>
      <c r="D94" s="251" t="s">
        <v>53</v>
      </c>
      <c r="E94" s="252">
        <v>99.15440000000001</v>
      </c>
      <c r="F94" s="179" t="str">
        <f t="shared" ref="F94:F101" si="10">IF(OR(E94&lt;=0)," ",TRUNC(G94,2))</f>
        <v>555.49</v>
      </c>
      <c r="G94" s="253">
        <v>555.49</v>
      </c>
      <c r="H94" s="181" t="str">
        <f t="shared" ref="H94:H101" si="11">IF(OR(E94&lt;=0)," ",TRUNC((E94*(1+$I$9)),2))</f>
        <v>121.19</v>
      </c>
      <c r="I94" s="182" t="str">
        <f t="shared" ref="I94:I101" si="12">IF(OR(E94&lt;=0)," ",TRUNC((H94*F94),2))</f>
        <v>67,319.83</v>
      </c>
      <c r="J94" s="280" t="s">
        <v>187</v>
      </c>
      <c r="K94" s="232"/>
    </row>
    <row r="95" ht="48.0" customHeight="1">
      <c r="A95" s="279" t="s">
        <v>188</v>
      </c>
      <c r="B95" s="200">
        <v>101161.0</v>
      </c>
      <c r="C95" s="176" t="s">
        <v>189</v>
      </c>
      <c r="D95" s="251" t="s">
        <v>53</v>
      </c>
      <c r="E95" s="252">
        <v>178.3172</v>
      </c>
      <c r="F95" s="179" t="str">
        <f t="shared" si="10"/>
        <v>10.53</v>
      </c>
      <c r="G95" s="253">
        <v>10.53</v>
      </c>
      <c r="H95" s="181" t="str">
        <f t="shared" si="11"/>
        <v>217.95</v>
      </c>
      <c r="I95" s="182" t="str">
        <f t="shared" si="12"/>
        <v>2,295.01</v>
      </c>
      <c r="J95" s="281"/>
      <c r="K95" s="92"/>
    </row>
    <row r="96" ht="32.25" customHeight="1">
      <c r="A96" s="279" t="s">
        <v>190</v>
      </c>
      <c r="B96" s="200">
        <v>93192.0</v>
      </c>
      <c r="C96" s="176" t="s">
        <v>191</v>
      </c>
      <c r="D96" s="251" t="s">
        <v>69</v>
      </c>
      <c r="E96" s="252">
        <v>48.0684</v>
      </c>
      <c r="F96" s="179" t="str">
        <f t="shared" si="10"/>
        <v>30.00</v>
      </c>
      <c r="G96" s="253">
        <v>30.0</v>
      </c>
      <c r="H96" s="181" t="str">
        <f t="shared" si="11"/>
        <v>58.75</v>
      </c>
      <c r="I96" s="182" t="str">
        <f t="shared" si="12"/>
        <v>1,762.50</v>
      </c>
      <c r="J96" s="282"/>
      <c r="K96" s="215" t="s">
        <v>192</v>
      </c>
    </row>
    <row r="97" ht="34.5" customHeight="1">
      <c r="A97" s="279" t="s">
        <v>193</v>
      </c>
      <c r="B97" s="200">
        <v>93193.0</v>
      </c>
      <c r="C97" s="176" t="s">
        <v>194</v>
      </c>
      <c r="D97" s="251" t="s">
        <v>69</v>
      </c>
      <c r="E97" s="252">
        <v>44.558800000000005</v>
      </c>
      <c r="F97" s="179" t="str">
        <f t="shared" si="10"/>
        <v>3.36</v>
      </c>
      <c r="G97" s="253">
        <v>3.36</v>
      </c>
      <c r="H97" s="181" t="str">
        <f t="shared" si="11"/>
        <v>54.46</v>
      </c>
      <c r="I97" s="182" t="str">
        <f t="shared" si="12"/>
        <v>182.98</v>
      </c>
      <c r="J97" s="283"/>
      <c r="K97" s="284"/>
    </row>
    <row r="98" ht="35.25" customHeight="1">
      <c r="A98" s="279" t="s">
        <v>195</v>
      </c>
      <c r="B98" s="200">
        <v>93190.0</v>
      </c>
      <c r="C98" s="176" t="s">
        <v>196</v>
      </c>
      <c r="D98" s="251" t="s">
        <v>69</v>
      </c>
      <c r="E98" s="252">
        <v>41.574000000000005</v>
      </c>
      <c r="F98" s="179" t="str">
        <f t="shared" si="10"/>
        <v>34.30</v>
      </c>
      <c r="G98" s="253">
        <v>34.3</v>
      </c>
      <c r="H98" s="181" t="str">
        <f t="shared" si="11"/>
        <v>50.81</v>
      </c>
      <c r="I98" s="182" t="str">
        <f t="shared" si="12"/>
        <v>1,742.78</v>
      </c>
      <c r="J98" s="283"/>
      <c r="K98" s="285" t="s">
        <v>197</v>
      </c>
    </row>
    <row r="99" ht="35.25" customHeight="1">
      <c r="A99" s="279" t="s">
        <v>198</v>
      </c>
      <c r="B99" s="200">
        <v>93187.0</v>
      </c>
      <c r="C99" s="176" t="s">
        <v>199</v>
      </c>
      <c r="D99" s="251" t="s">
        <v>69</v>
      </c>
      <c r="E99" s="252">
        <v>86.592</v>
      </c>
      <c r="F99" s="179" t="str">
        <f t="shared" si="10"/>
        <v>23.00</v>
      </c>
      <c r="G99" s="253">
        <v>23.0</v>
      </c>
      <c r="H99" s="181" t="str">
        <f t="shared" si="11"/>
        <v>105.84</v>
      </c>
      <c r="I99" s="182" t="str">
        <f t="shared" si="12"/>
        <v>2,434.32</v>
      </c>
      <c r="J99" s="283"/>
      <c r="K99" s="232"/>
    </row>
    <row r="100" ht="36.0" customHeight="1">
      <c r="A100" s="279" t="s">
        <v>200</v>
      </c>
      <c r="B100" s="200">
        <v>93198.0</v>
      </c>
      <c r="C100" s="176" t="s">
        <v>201</v>
      </c>
      <c r="D100" s="251" t="s">
        <v>69</v>
      </c>
      <c r="E100" s="252">
        <v>35.620799999999996</v>
      </c>
      <c r="F100" s="179" t="str">
        <f t="shared" si="10"/>
        <v>34.30</v>
      </c>
      <c r="G100" s="253">
        <v>34.3</v>
      </c>
      <c r="H100" s="181" t="str">
        <f t="shared" si="11"/>
        <v>43.53</v>
      </c>
      <c r="I100" s="182" t="str">
        <f t="shared" si="12"/>
        <v>1,493.07</v>
      </c>
      <c r="J100" s="255"/>
      <c r="K100" s="285" t="s">
        <v>197</v>
      </c>
    </row>
    <row r="101" ht="31.5" customHeight="1">
      <c r="A101" s="261" t="s">
        <v>202</v>
      </c>
      <c r="B101" s="200">
        <v>93199.0</v>
      </c>
      <c r="C101" s="176" t="s">
        <v>203</v>
      </c>
      <c r="D101" s="251" t="s">
        <v>69</v>
      </c>
      <c r="E101" s="252">
        <v>35.178</v>
      </c>
      <c r="F101" s="179" t="str">
        <f t="shared" si="10"/>
        <v>23.00</v>
      </c>
      <c r="G101" s="253">
        <v>23.0</v>
      </c>
      <c r="H101" s="181" t="str">
        <f t="shared" si="11"/>
        <v>42.99</v>
      </c>
      <c r="I101" s="182" t="str">
        <f t="shared" si="12"/>
        <v>988.77</v>
      </c>
      <c r="J101" s="232"/>
      <c r="K101" s="232"/>
    </row>
    <row r="102" ht="14.25" customHeight="1">
      <c r="A102" s="286"/>
      <c r="B102" s="287"/>
      <c r="C102" s="288"/>
      <c r="D102" s="287"/>
      <c r="E102" s="289"/>
      <c r="F102" s="290"/>
      <c r="G102" s="291"/>
      <c r="H102" s="292" t="s">
        <v>47</v>
      </c>
      <c r="I102" s="293" t="str">
        <f>TRUNC(SUM(I94:I101),2)</f>
        <v>78,219.26</v>
      </c>
      <c r="J102" s="232"/>
      <c r="K102" s="232"/>
    </row>
    <row r="103" ht="14.25" customHeight="1">
      <c r="A103" s="166">
        <v>6.0</v>
      </c>
      <c r="B103" s="167"/>
      <c r="C103" s="168" t="s">
        <v>204</v>
      </c>
      <c r="D103" s="169"/>
      <c r="E103" s="195"/>
      <c r="F103" s="196"/>
      <c r="G103" s="197"/>
      <c r="H103" s="197"/>
      <c r="I103" s="172"/>
      <c r="J103" s="173"/>
      <c r="K103" s="232"/>
    </row>
    <row r="104" ht="31.5" customHeight="1">
      <c r="A104" s="261" t="s">
        <v>205</v>
      </c>
      <c r="B104" s="251" t="s">
        <v>206</v>
      </c>
      <c r="C104" s="294" t="s">
        <v>207</v>
      </c>
      <c r="D104" s="251" t="s">
        <v>53</v>
      </c>
      <c r="E104" s="252">
        <v>11.9556</v>
      </c>
      <c r="F104" s="179" t="str">
        <f t="shared" ref="F104:F110" si="13">IF(OR(E104&lt;=0)," ",TRUNC(G104,2))</f>
        <v>246.05</v>
      </c>
      <c r="G104" s="253">
        <v>246.05</v>
      </c>
      <c r="H104" s="181" t="str">
        <f t="shared" ref="H104:H110" si="14">IF(OR(E104&lt;=0)," ",TRUNC((E104*(1+$I$9)),2))</f>
        <v>14.61</v>
      </c>
      <c r="I104" s="182" t="str">
        <f t="shared" ref="I104:I110" si="15">IF(OR(E104&lt;=0)," ",TRUNC((H104*F104),2))</f>
        <v>3,594.79</v>
      </c>
      <c r="J104" s="295" t="str">
        <f>'COMP CIVIL'!F229</f>
        <v>14.58</v>
      </c>
      <c r="K104" s="232"/>
    </row>
    <row r="105" ht="14.25" customHeight="1">
      <c r="A105" s="261" t="s">
        <v>208</v>
      </c>
      <c r="B105" s="200">
        <v>95241.0</v>
      </c>
      <c r="C105" s="176" t="s">
        <v>209</v>
      </c>
      <c r="D105" s="251" t="s">
        <v>53</v>
      </c>
      <c r="E105" s="252">
        <v>26.9124</v>
      </c>
      <c r="F105" s="179" t="str">
        <f t="shared" si="13"/>
        <v>246.05</v>
      </c>
      <c r="G105" s="253">
        <v>246.05</v>
      </c>
      <c r="H105" s="181" t="str">
        <f t="shared" si="14"/>
        <v>32.89</v>
      </c>
      <c r="I105" s="182" t="str">
        <f t="shared" si="15"/>
        <v>8,092.58</v>
      </c>
      <c r="J105" s="232"/>
      <c r="K105" s="232"/>
    </row>
    <row r="106" ht="74.25" customHeight="1">
      <c r="A106" s="261" t="s">
        <v>210</v>
      </c>
      <c r="B106" s="200">
        <v>94438.0</v>
      </c>
      <c r="C106" s="176" t="s">
        <v>211</v>
      </c>
      <c r="D106" s="251" t="s">
        <v>53</v>
      </c>
      <c r="E106" s="252">
        <v>38.2366</v>
      </c>
      <c r="F106" s="179" t="str">
        <f t="shared" si="13"/>
        <v>246.05</v>
      </c>
      <c r="G106" s="253">
        <v>246.05</v>
      </c>
      <c r="H106" s="181" t="str">
        <f t="shared" si="14"/>
        <v>46.73</v>
      </c>
      <c r="I106" s="182" t="str">
        <f t="shared" si="15"/>
        <v>11,497.91</v>
      </c>
      <c r="J106" s="232"/>
      <c r="K106" s="232"/>
    </row>
    <row r="107" ht="43.5" customHeight="1">
      <c r="A107" s="261" t="s">
        <v>212</v>
      </c>
      <c r="B107" s="200">
        <v>87261.0</v>
      </c>
      <c r="C107" s="176" t="s">
        <v>213</v>
      </c>
      <c r="D107" s="251" t="s">
        <v>53</v>
      </c>
      <c r="E107" s="252">
        <v>150.9128</v>
      </c>
      <c r="F107" s="179" t="str">
        <f t="shared" si="13"/>
        <v>8.74</v>
      </c>
      <c r="G107" s="253">
        <v>8.74</v>
      </c>
      <c r="H107" s="181" t="str">
        <f t="shared" si="14"/>
        <v>184.46</v>
      </c>
      <c r="I107" s="182" t="str">
        <f t="shared" si="15"/>
        <v>1,612.18</v>
      </c>
      <c r="J107" s="232"/>
      <c r="K107" s="232"/>
    </row>
    <row r="108" ht="45.75" customHeight="1">
      <c r="A108" s="261" t="s">
        <v>214</v>
      </c>
      <c r="B108" s="200">
        <v>87262.0</v>
      </c>
      <c r="C108" s="176" t="s">
        <v>215</v>
      </c>
      <c r="D108" s="251" t="s">
        <v>53</v>
      </c>
      <c r="E108" s="252">
        <v>138.4816</v>
      </c>
      <c r="F108" s="179" t="str">
        <f t="shared" si="13"/>
        <v>23.06</v>
      </c>
      <c r="G108" s="253">
        <v>23.06</v>
      </c>
      <c r="H108" s="181" t="str">
        <f t="shared" si="14"/>
        <v>169.26</v>
      </c>
      <c r="I108" s="182" t="str">
        <f t="shared" si="15"/>
        <v>3,903.13</v>
      </c>
      <c r="J108" s="232"/>
      <c r="K108" s="232"/>
    </row>
    <row r="109" ht="45.75" customHeight="1">
      <c r="A109" s="261" t="s">
        <v>216</v>
      </c>
      <c r="B109" s="200">
        <v>87263.0</v>
      </c>
      <c r="C109" s="176" t="s">
        <v>217</v>
      </c>
      <c r="D109" s="251" t="s">
        <v>53</v>
      </c>
      <c r="E109" s="252">
        <v>131.2328</v>
      </c>
      <c r="F109" s="179" t="str">
        <f t="shared" si="13"/>
        <v>214.25</v>
      </c>
      <c r="G109" s="253">
        <v>214.25</v>
      </c>
      <c r="H109" s="181" t="str">
        <f t="shared" si="14"/>
        <v>160.40</v>
      </c>
      <c r="I109" s="182" t="str">
        <f t="shared" si="15"/>
        <v>34,365.70</v>
      </c>
      <c r="J109" s="232"/>
      <c r="K109" s="232"/>
    </row>
    <row r="110" ht="31.5" customHeight="1">
      <c r="A110" s="261" t="s">
        <v>218</v>
      </c>
      <c r="B110" s="251" t="s">
        <v>219</v>
      </c>
      <c r="C110" s="176" t="s">
        <v>220</v>
      </c>
      <c r="D110" s="251" t="s">
        <v>69</v>
      </c>
      <c r="E110" s="252">
        <v>63.87800000000001</v>
      </c>
      <c r="F110" s="296" t="str">
        <f t="shared" si="13"/>
        <v>131.9</v>
      </c>
      <c r="G110" s="253">
        <v>131.9</v>
      </c>
      <c r="H110" s="181" t="str">
        <f t="shared" si="14"/>
        <v>78.07</v>
      </c>
      <c r="I110" s="182" t="str">
        <f t="shared" si="15"/>
        <v>10,297.43</v>
      </c>
      <c r="J110" s="183" t="str">
        <f>'COMP CIVIL'!F242</f>
        <v>77.90</v>
      </c>
      <c r="K110" s="232"/>
    </row>
    <row r="111" ht="14.25" customHeight="1">
      <c r="A111" s="286"/>
      <c r="B111" s="287"/>
      <c r="C111" s="288"/>
      <c r="D111" s="287"/>
      <c r="E111" s="252"/>
      <c r="F111" s="290"/>
      <c r="G111" s="291"/>
      <c r="H111" s="192" t="s">
        <v>47</v>
      </c>
      <c r="I111" s="293" t="str">
        <f>TRUNC(SUM(I104:I110),2)</f>
        <v>73,363.72</v>
      </c>
      <c r="J111" s="232"/>
      <c r="K111" s="232"/>
    </row>
    <row r="112" ht="14.25" customHeight="1">
      <c r="A112" s="166">
        <v>7.0</v>
      </c>
      <c r="B112" s="167"/>
      <c r="C112" s="168" t="s">
        <v>221</v>
      </c>
      <c r="D112" s="169"/>
      <c r="E112" s="195"/>
      <c r="F112" s="196" t="str">
        <f t="shared" ref="F112:F122" si="16">IF(OR(E112&lt;=0)," ",TRUNC(G112,2))</f>
        <v> </v>
      </c>
      <c r="G112" s="197"/>
      <c r="H112" s="197" t="str">
        <f t="shared" ref="H112:H122" si="17">IF(OR(E112&lt;=0)," ",TRUNC((E112*(1+$I$9)),2))</f>
        <v> </v>
      </c>
      <c r="I112" s="172" t="str">
        <f t="shared" ref="I112:I122" si="18">IF(OR(E112&lt;=0)," ",TRUNC((H112*F112),2))</f>
        <v> </v>
      </c>
      <c r="J112" s="173"/>
      <c r="K112" s="232"/>
    </row>
    <row r="113" ht="44.25" customHeight="1">
      <c r="A113" s="261" t="s">
        <v>222</v>
      </c>
      <c r="B113" s="297">
        <v>87904.0</v>
      </c>
      <c r="C113" s="176" t="s">
        <v>223</v>
      </c>
      <c r="D113" s="251" t="s">
        <v>53</v>
      </c>
      <c r="E113" s="252">
        <v>6.5927999999999995</v>
      </c>
      <c r="F113" s="179" t="str">
        <f t="shared" si="16"/>
        <v>514.19</v>
      </c>
      <c r="G113" s="253">
        <v>514.19</v>
      </c>
      <c r="H113" s="181" t="str">
        <f t="shared" si="17"/>
        <v>8.05</v>
      </c>
      <c r="I113" s="182" t="str">
        <f t="shared" si="18"/>
        <v>4,139.22</v>
      </c>
      <c r="J113" s="232"/>
      <c r="K113" s="285" t="s">
        <v>224</v>
      </c>
    </row>
    <row r="114" ht="44.25" customHeight="1">
      <c r="A114" s="261" t="s">
        <v>225</v>
      </c>
      <c r="B114" s="297">
        <v>87879.0</v>
      </c>
      <c r="C114" s="176" t="s">
        <v>226</v>
      </c>
      <c r="D114" s="251" t="s">
        <v>53</v>
      </c>
      <c r="E114" s="252">
        <v>3.5915999999999997</v>
      </c>
      <c r="F114" s="179" t="str">
        <f t="shared" si="16"/>
        <v>925.09</v>
      </c>
      <c r="G114" s="253">
        <v>925.09</v>
      </c>
      <c r="H114" s="181" t="str">
        <f t="shared" si="17"/>
        <v>4.39</v>
      </c>
      <c r="I114" s="182" t="str">
        <f t="shared" si="18"/>
        <v>4,061.14</v>
      </c>
      <c r="J114" s="298"/>
      <c r="K114" s="299" t="s">
        <v>227</v>
      </c>
    </row>
    <row r="115" ht="54.75" customHeight="1">
      <c r="A115" s="261" t="s">
        <v>228</v>
      </c>
      <c r="B115" s="200">
        <v>87528.0</v>
      </c>
      <c r="C115" s="176" t="s">
        <v>229</v>
      </c>
      <c r="D115" s="251" t="s">
        <v>53</v>
      </c>
      <c r="E115" s="252">
        <v>36.695</v>
      </c>
      <c r="F115" s="179" t="str">
        <f t="shared" si="16"/>
        <v>72.64</v>
      </c>
      <c r="G115" s="253">
        <v>72.64</v>
      </c>
      <c r="H115" s="181" t="str">
        <f t="shared" si="17"/>
        <v>44.85</v>
      </c>
      <c r="I115" s="182" t="str">
        <f t="shared" si="18"/>
        <v>3,257.90</v>
      </c>
      <c r="J115" s="232"/>
      <c r="K115" s="299" t="s">
        <v>230</v>
      </c>
    </row>
    <row r="116" ht="78.0" customHeight="1">
      <c r="A116" s="261" t="s">
        <v>231</v>
      </c>
      <c r="B116" s="200">
        <v>87532.0</v>
      </c>
      <c r="C116" s="176" t="s">
        <v>232</v>
      </c>
      <c r="D116" s="251" t="s">
        <v>53</v>
      </c>
      <c r="E116" s="252">
        <v>32.824600000000004</v>
      </c>
      <c r="F116" s="179" t="str">
        <f t="shared" si="16"/>
        <v>42.84</v>
      </c>
      <c r="G116" s="253">
        <v>42.84</v>
      </c>
      <c r="H116" s="181" t="str">
        <f t="shared" si="17"/>
        <v>40.12</v>
      </c>
      <c r="I116" s="182" t="str">
        <f t="shared" si="18"/>
        <v>1,718.74</v>
      </c>
      <c r="J116" s="232"/>
      <c r="K116" s="299" t="s">
        <v>233</v>
      </c>
    </row>
    <row r="117" ht="60.75" customHeight="1">
      <c r="A117" s="261" t="s">
        <v>234</v>
      </c>
      <c r="B117" s="200">
        <v>87536.0</v>
      </c>
      <c r="C117" s="176" t="s">
        <v>235</v>
      </c>
      <c r="D117" s="251" t="s">
        <v>53</v>
      </c>
      <c r="E117" s="252">
        <v>29.9628</v>
      </c>
      <c r="F117" s="179" t="str">
        <f t="shared" si="16"/>
        <v>88.41</v>
      </c>
      <c r="G117" s="253">
        <v>88.41</v>
      </c>
      <c r="H117" s="181" t="str">
        <f t="shared" si="17"/>
        <v>36.62</v>
      </c>
      <c r="I117" s="182" t="str">
        <f t="shared" si="18"/>
        <v>3,237.57</v>
      </c>
      <c r="J117" s="232"/>
      <c r="K117" s="285" t="s">
        <v>236</v>
      </c>
    </row>
    <row r="118" ht="29.25" customHeight="1">
      <c r="A118" s="261" t="s">
        <v>237</v>
      </c>
      <c r="B118" s="251" t="s">
        <v>238</v>
      </c>
      <c r="C118" s="176" t="s">
        <v>239</v>
      </c>
      <c r="D118" s="251" t="s">
        <v>53</v>
      </c>
      <c r="E118" s="252">
        <v>156.087</v>
      </c>
      <c r="F118" s="179" t="str">
        <f t="shared" si="16"/>
        <v>108.24</v>
      </c>
      <c r="G118" s="253">
        <v>108.24</v>
      </c>
      <c r="H118" s="181" t="str">
        <f t="shared" si="17"/>
        <v>190.78</v>
      </c>
      <c r="I118" s="182" t="str">
        <f t="shared" si="18"/>
        <v>20,650.02</v>
      </c>
      <c r="J118" s="183" t="str">
        <f>'COMP CIVIL'!F342</f>
        <v>190.35</v>
      </c>
      <c r="K118" s="300" t="s">
        <v>240</v>
      </c>
    </row>
    <row r="119" ht="65.25" customHeight="1">
      <c r="A119" s="261" t="s">
        <v>241</v>
      </c>
      <c r="B119" s="200">
        <v>89173.0</v>
      </c>
      <c r="C119" s="294" t="s">
        <v>242</v>
      </c>
      <c r="D119" s="251" t="s">
        <v>53</v>
      </c>
      <c r="E119" s="252">
        <v>30.1678</v>
      </c>
      <c r="F119" s="179" t="str">
        <f t="shared" si="16"/>
        <v>446.89</v>
      </c>
      <c r="G119" s="253">
        <v>446.89</v>
      </c>
      <c r="H119" s="181" t="str">
        <f t="shared" si="17"/>
        <v>36.87</v>
      </c>
      <c r="I119" s="182" t="str">
        <f t="shared" si="18"/>
        <v>16,476.83</v>
      </c>
      <c r="J119" s="301"/>
      <c r="K119" s="302" t="s">
        <v>243</v>
      </c>
    </row>
    <row r="120" ht="56.25" customHeight="1">
      <c r="A120" s="261" t="s">
        <v>244</v>
      </c>
      <c r="B120" s="200">
        <v>90406.0</v>
      </c>
      <c r="C120" s="176" t="s">
        <v>245</v>
      </c>
      <c r="D120" s="251" t="s">
        <v>53</v>
      </c>
      <c r="E120" s="252">
        <v>38.351400000000005</v>
      </c>
      <c r="F120" s="179" t="str">
        <f t="shared" si="16"/>
        <v>477.72</v>
      </c>
      <c r="G120" s="253">
        <v>477.72</v>
      </c>
      <c r="H120" s="181" t="str">
        <f t="shared" si="17"/>
        <v>46.87</v>
      </c>
      <c r="I120" s="182" t="str">
        <f t="shared" si="18"/>
        <v>22,390.73</v>
      </c>
      <c r="J120" s="232"/>
      <c r="K120" s="303" t="s">
        <v>246</v>
      </c>
    </row>
    <row r="121" ht="42.75" customHeight="1">
      <c r="A121" s="261" t="s">
        <v>247</v>
      </c>
      <c r="B121" s="251" t="s">
        <v>248</v>
      </c>
      <c r="C121" s="176" t="s">
        <v>249</v>
      </c>
      <c r="D121" s="200" t="s">
        <v>53</v>
      </c>
      <c r="E121" s="252">
        <v>62.885799999999996</v>
      </c>
      <c r="F121" s="179" t="str">
        <f t="shared" si="16"/>
        <v>30.66</v>
      </c>
      <c r="G121" s="253">
        <v>30.66</v>
      </c>
      <c r="H121" s="181" t="str">
        <f t="shared" si="17"/>
        <v>76.86</v>
      </c>
      <c r="I121" s="182" t="str">
        <f t="shared" si="18"/>
        <v>2,356.52</v>
      </c>
      <c r="J121" s="183" t="str">
        <f>'COMP CIVIL'!F316</f>
        <v>76.69</v>
      </c>
      <c r="K121" s="304" t="s">
        <v>250</v>
      </c>
    </row>
    <row r="122" ht="42.75" customHeight="1">
      <c r="A122" s="261" t="s">
        <v>251</v>
      </c>
      <c r="B122" s="251" t="s">
        <v>252</v>
      </c>
      <c r="C122" s="176" t="s">
        <v>253</v>
      </c>
      <c r="D122" s="200" t="s">
        <v>53</v>
      </c>
      <c r="E122" s="252">
        <v>65.7312</v>
      </c>
      <c r="F122" s="179" t="str">
        <f t="shared" si="16"/>
        <v>64.99</v>
      </c>
      <c r="G122" s="253">
        <v>64.99</v>
      </c>
      <c r="H122" s="181" t="str">
        <f t="shared" si="17"/>
        <v>80.34</v>
      </c>
      <c r="I122" s="182" t="str">
        <f t="shared" si="18"/>
        <v>5,221.29</v>
      </c>
      <c r="J122" s="183" t="str">
        <f>'COMP CIVIL'!F329</f>
        <v>80.16</v>
      </c>
      <c r="K122" s="304" t="s">
        <v>250</v>
      </c>
    </row>
    <row r="123" ht="14.25" customHeight="1">
      <c r="A123" s="286"/>
      <c r="B123" s="287"/>
      <c r="C123" s="305"/>
      <c r="D123" s="287"/>
      <c r="E123" s="252"/>
      <c r="F123" s="290"/>
      <c r="G123" s="291"/>
      <c r="H123" s="192" t="s">
        <v>47</v>
      </c>
      <c r="I123" s="293" t="str">
        <f>TRUNC(SUM(I113:I122),2)</f>
        <v>83,509.96</v>
      </c>
      <c r="J123" s="232"/>
      <c r="K123" s="232"/>
    </row>
    <row r="124" ht="14.25" customHeight="1">
      <c r="A124" s="306">
        <v>8.0</v>
      </c>
      <c r="B124" s="307"/>
      <c r="C124" s="168" t="s">
        <v>254</v>
      </c>
      <c r="D124" s="169"/>
      <c r="E124" s="195"/>
      <c r="F124" s="196" t="str">
        <f t="shared" ref="F124:F139" si="19">IF(OR(E124&lt;=0)," ",TRUNC(G124,2))</f>
        <v> </v>
      </c>
      <c r="G124" s="197"/>
      <c r="H124" s="197" t="str">
        <f t="shared" ref="H124:H139" si="20">IF(OR(E124&lt;=0)," ",TRUNC((E124*(1+$I$9)),2))</f>
        <v> </v>
      </c>
      <c r="I124" s="172" t="str">
        <f t="shared" ref="I124:I139" si="21">IF(OR(E124&lt;=0)," ",TRUNC((H124*F124),2))</f>
        <v> </v>
      </c>
      <c r="J124" s="232"/>
      <c r="K124" s="232"/>
    </row>
    <row r="125" ht="15.75" customHeight="1">
      <c r="A125" s="308" t="s">
        <v>255</v>
      </c>
      <c r="B125" s="245"/>
      <c r="C125" s="309" t="s">
        <v>256</v>
      </c>
      <c r="D125" s="245"/>
      <c r="E125" s="247"/>
      <c r="F125" s="248" t="str">
        <f t="shared" si="19"/>
        <v> </v>
      </c>
      <c r="G125" s="249"/>
      <c r="H125" s="249" t="str">
        <f t="shared" si="20"/>
        <v> </v>
      </c>
      <c r="I125" s="250" t="str">
        <f t="shared" si="21"/>
        <v> </v>
      </c>
      <c r="J125" s="232"/>
      <c r="K125" s="310"/>
    </row>
    <row r="126" ht="18.0" customHeight="1">
      <c r="A126" s="233" t="s">
        <v>257</v>
      </c>
      <c r="B126" s="200" t="s">
        <v>258</v>
      </c>
      <c r="C126" s="176" t="s">
        <v>259</v>
      </c>
      <c r="D126" s="200" t="s">
        <v>46</v>
      </c>
      <c r="E126" s="252">
        <v>1828.9608</v>
      </c>
      <c r="F126" s="179" t="str">
        <f t="shared" si="19"/>
        <v>1.00</v>
      </c>
      <c r="G126" s="253">
        <v>1.0</v>
      </c>
      <c r="H126" s="181" t="str">
        <f t="shared" si="20"/>
        <v>2,235.53</v>
      </c>
      <c r="I126" s="182" t="str">
        <f t="shared" si="21"/>
        <v>2,235.53</v>
      </c>
      <c r="J126" s="183" t="str">
        <f>'COMP CIVIL'!F129</f>
        <v>2230.44</v>
      </c>
      <c r="K126" s="310" t="s">
        <v>260</v>
      </c>
    </row>
    <row r="127" ht="72.0" customHeight="1">
      <c r="A127" s="233" t="s">
        <v>261</v>
      </c>
      <c r="B127" s="200">
        <v>90845.0</v>
      </c>
      <c r="C127" s="176" t="s">
        <v>262</v>
      </c>
      <c r="D127" s="200" t="s">
        <v>46</v>
      </c>
      <c r="E127" s="252">
        <v>1131.1982</v>
      </c>
      <c r="F127" s="179" t="str">
        <f t="shared" si="19"/>
        <v>3.00</v>
      </c>
      <c r="G127" s="253">
        <v>3.0</v>
      </c>
      <c r="H127" s="181" t="str">
        <f t="shared" si="20"/>
        <v>1,382.66</v>
      </c>
      <c r="I127" s="182" t="str">
        <f t="shared" si="21"/>
        <v>4,147.98</v>
      </c>
      <c r="J127" s="232"/>
      <c r="K127" s="310" t="s">
        <v>263</v>
      </c>
    </row>
    <row r="128" ht="34.5" customHeight="1">
      <c r="A128" s="233" t="s">
        <v>264</v>
      </c>
      <c r="B128" s="251" t="s">
        <v>265</v>
      </c>
      <c r="C128" s="176" t="s">
        <v>266</v>
      </c>
      <c r="D128" s="200" t="s">
        <v>46</v>
      </c>
      <c r="E128" s="252">
        <v>1443.2</v>
      </c>
      <c r="F128" s="179" t="str">
        <f t="shared" si="19"/>
        <v>1.00</v>
      </c>
      <c r="G128" s="253">
        <v>1.0</v>
      </c>
      <c r="H128" s="181" t="str">
        <f t="shared" si="20"/>
        <v>1,764.02</v>
      </c>
      <c r="I128" s="182" t="str">
        <f t="shared" si="21"/>
        <v>1,764.02</v>
      </c>
      <c r="J128" s="183" t="str">
        <f>'COMP CIVIL'!F94</f>
        <v>1760.00</v>
      </c>
      <c r="K128" s="310" t="s">
        <v>267</v>
      </c>
    </row>
    <row r="129" ht="14.25" customHeight="1">
      <c r="A129" s="311" t="s">
        <v>268</v>
      </c>
      <c r="B129" s="245"/>
      <c r="C129" s="246" t="s">
        <v>269</v>
      </c>
      <c r="D129" s="245"/>
      <c r="E129" s="247"/>
      <c r="F129" s="248" t="str">
        <f t="shared" si="19"/>
        <v> </v>
      </c>
      <c r="G129" s="249"/>
      <c r="H129" s="249" t="str">
        <f t="shared" si="20"/>
        <v> </v>
      </c>
      <c r="I129" s="250" t="str">
        <f t="shared" si="21"/>
        <v> </v>
      </c>
      <c r="J129" s="232"/>
      <c r="K129" s="300"/>
    </row>
    <row r="130" ht="34.5" customHeight="1">
      <c r="A130" s="174" t="s">
        <v>270</v>
      </c>
      <c r="B130" s="200">
        <v>101965.0</v>
      </c>
      <c r="C130" s="176" t="s">
        <v>271</v>
      </c>
      <c r="D130" s="200" t="s">
        <v>69</v>
      </c>
      <c r="E130" s="252">
        <v>101.2782</v>
      </c>
      <c r="F130" s="179" t="str">
        <f t="shared" si="19"/>
        <v>31.50</v>
      </c>
      <c r="G130" s="253">
        <v>31.5</v>
      </c>
      <c r="H130" s="181" t="str">
        <f t="shared" si="20"/>
        <v>123.79</v>
      </c>
      <c r="I130" s="182" t="str">
        <f t="shared" si="21"/>
        <v>3,899.38</v>
      </c>
      <c r="J130" s="232"/>
      <c r="K130" s="232"/>
    </row>
    <row r="131" ht="18.75" customHeight="1">
      <c r="A131" s="174" t="s">
        <v>272</v>
      </c>
      <c r="B131" s="200">
        <v>98689.0</v>
      </c>
      <c r="C131" s="176" t="s">
        <v>273</v>
      </c>
      <c r="D131" s="200" t="s">
        <v>69</v>
      </c>
      <c r="E131" s="252">
        <v>113.5946</v>
      </c>
      <c r="F131" s="179" t="str">
        <f t="shared" si="19"/>
        <v>3.80</v>
      </c>
      <c r="G131" s="253">
        <v>3.8</v>
      </c>
      <c r="H131" s="181" t="str">
        <f t="shared" si="20"/>
        <v>138.84</v>
      </c>
      <c r="I131" s="182" t="str">
        <f t="shared" si="21"/>
        <v>527.59</v>
      </c>
      <c r="J131" s="232"/>
      <c r="K131" s="232"/>
    </row>
    <row r="132" ht="33.0" customHeight="1">
      <c r="A132" s="174" t="s">
        <v>274</v>
      </c>
      <c r="B132" s="200" t="s">
        <v>275</v>
      </c>
      <c r="C132" s="221" t="s">
        <v>276</v>
      </c>
      <c r="D132" s="200" t="s">
        <v>46</v>
      </c>
      <c r="E132" s="252">
        <v>3223.6414</v>
      </c>
      <c r="F132" s="179" t="str">
        <f t="shared" si="19"/>
        <v>2.00</v>
      </c>
      <c r="G132" s="253">
        <v>2.0</v>
      </c>
      <c r="H132" s="181" t="str">
        <f t="shared" si="20"/>
        <v>3,940.25</v>
      </c>
      <c r="I132" s="182" t="str">
        <f t="shared" si="21"/>
        <v>7,880.50</v>
      </c>
      <c r="J132" s="183" t="str">
        <f>'COMP CIVIL'!F77</f>
        <v>3931.27</v>
      </c>
      <c r="K132" s="300" t="s">
        <v>277</v>
      </c>
    </row>
    <row r="133" ht="35.25" customHeight="1">
      <c r="A133" s="174" t="s">
        <v>278</v>
      </c>
      <c r="B133" s="200">
        <v>91341.0</v>
      </c>
      <c r="C133" s="221" t="s">
        <v>279</v>
      </c>
      <c r="D133" s="200" t="s">
        <v>53</v>
      </c>
      <c r="E133" s="252">
        <v>521.7988</v>
      </c>
      <c r="F133" s="179" t="str">
        <f t="shared" si="19"/>
        <v>10.49</v>
      </c>
      <c r="G133" s="253">
        <v>10.49</v>
      </c>
      <c r="H133" s="181" t="str">
        <f t="shared" si="20"/>
        <v>637.79</v>
      </c>
      <c r="I133" s="182" t="str">
        <f t="shared" si="21"/>
        <v>6,690.41</v>
      </c>
      <c r="J133" s="232"/>
      <c r="K133" s="300" t="s">
        <v>280</v>
      </c>
    </row>
    <row r="134" ht="46.5" customHeight="1">
      <c r="A134" s="174" t="s">
        <v>281</v>
      </c>
      <c r="B134" s="200">
        <v>94569.0</v>
      </c>
      <c r="C134" s="176" t="s">
        <v>282</v>
      </c>
      <c r="D134" s="200" t="s">
        <v>53</v>
      </c>
      <c r="E134" s="252">
        <v>578.3870000000001</v>
      </c>
      <c r="F134" s="179" t="str">
        <f t="shared" si="19"/>
        <v>24.84</v>
      </c>
      <c r="G134" s="253">
        <v>24.84</v>
      </c>
      <c r="H134" s="181" t="str">
        <f t="shared" si="20"/>
        <v>706.96</v>
      </c>
      <c r="I134" s="182" t="str">
        <f t="shared" si="21"/>
        <v>17,560.88</v>
      </c>
      <c r="J134" s="232"/>
      <c r="K134" s="300" t="s">
        <v>283</v>
      </c>
    </row>
    <row r="135" ht="61.5" customHeight="1">
      <c r="A135" s="174" t="s">
        <v>284</v>
      </c>
      <c r="B135" s="200">
        <v>94570.0</v>
      </c>
      <c r="C135" s="176" t="s">
        <v>285</v>
      </c>
      <c r="D135" s="200" t="s">
        <v>53</v>
      </c>
      <c r="E135" s="252">
        <v>300.7022</v>
      </c>
      <c r="F135" s="179" t="str">
        <f t="shared" si="19"/>
        <v>4.84</v>
      </c>
      <c r="G135" s="253">
        <v>4.84</v>
      </c>
      <c r="H135" s="181" t="str">
        <f t="shared" si="20"/>
        <v>367.54</v>
      </c>
      <c r="I135" s="182" t="str">
        <f t="shared" si="21"/>
        <v>1,778.89</v>
      </c>
      <c r="J135" s="232"/>
      <c r="K135" s="312" t="s">
        <v>286</v>
      </c>
    </row>
    <row r="136" ht="12.75" customHeight="1">
      <c r="A136" s="311" t="s">
        <v>287</v>
      </c>
      <c r="B136" s="245"/>
      <c r="C136" s="246" t="s">
        <v>288</v>
      </c>
      <c r="D136" s="245"/>
      <c r="E136" s="247"/>
      <c r="F136" s="248" t="str">
        <f t="shared" si="19"/>
        <v> </v>
      </c>
      <c r="G136" s="249"/>
      <c r="H136" s="249" t="str">
        <f t="shared" si="20"/>
        <v> </v>
      </c>
      <c r="I136" s="250" t="str">
        <f t="shared" si="21"/>
        <v> </v>
      </c>
      <c r="J136" s="232"/>
      <c r="K136" s="232"/>
    </row>
    <row r="137" ht="14.25" customHeight="1">
      <c r="A137" s="261" t="s">
        <v>289</v>
      </c>
      <c r="B137" s="251" t="s">
        <v>290</v>
      </c>
      <c r="C137" s="294" t="s">
        <v>291</v>
      </c>
      <c r="D137" s="200" t="s">
        <v>46</v>
      </c>
      <c r="E137" s="252">
        <v>2947.08</v>
      </c>
      <c r="F137" s="179" t="str">
        <f t="shared" si="19"/>
        <v>1.00</v>
      </c>
      <c r="G137" s="253">
        <v>1.0</v>
      </c>
      <c r="H137" s="181" t="str">
        <f t="shared" si="20"/>
        <v>3,602.21</v>
      </c>
      <c r="I137" s="182" t="str">
        <f t="shared" si="21"/>
        <v>3,602.21</v>
      </c>
      <c r="J137" s="183" t="str">
        <f>'COMP CIVIL'!F164</f>
        <v>3594.00</v>
      </c>
      <c r="K137" s="300" t="s">
        <v>292</v>
      </c>
    </row>
    <row r="138" ht="14.25" customHeight="1">
      <c r="A138" s="261" t="s">
        <v>293</v>
      </c>
      <c r="B138" s="251" t="s">
        <v>294</v>
      </c>
      <c r="C138" s="294" t="s">
        <v>295</v>
      </c>
      <c r="D138" s="200" t="s">
        <v>46</v>
      </c>
      <c r="E138" s="252">
        <v>7227.48</v>
      </c>
      <c r="F138" s="179" t="str">
        <f t="shared" si="19"/>
        <v>1.00</v>
      </c>
      <c r="G138" s="253">
        <v>1.0</v>
      </c>
      <c r="H138" s="181" t="str">
        <f t="shared" si="20"/>
        <v>8,834.14</v>
      </c>
      <c r="I138" s="182" t="str">
        <f t="shared" si="21"/>
        <v>8,834.14</v>
      </c>
      <c r="J138" s="183" t="str">
        <f>'COMP CIVIL'!F181</f>
        <v>8814.00</v>
      </c>
      <c r="K138" s="300" t="s">
        <v>296</v>
      </c>
    </row>
    <row r="139" ht="14.25" customHeight="1">
      <c r="A139" s="261" t="s">
        <v>297</v>
      </c>
      <c r="B139" s="251" t="s">
        <v>298</v>
      </c>
      <c r="C139" s="176" t="s">
        <v>299</v>
      </c>
      <c r="D139" s="200" t="s">
        <v>46</v>
      </c>
      <c r="E139" s="252">
        <v>3148.8</v>
      </c>
      <c r="F139" s="179" t="str">
        <f t="shared" si="19"/>
        <v>1.00</v>
      </c>
      <c r="G139" s="253">
        <v>1.0</v>
      </c>
      <c r="H139" s="181" t="str">
        <f t="shared" si="20"/>
        <v>3,848.77</v>
      </c>
      <c r="I139" s="182" t="str">
        <f t="shared" si="21"/>
        <v>3,848.77</v>
      </c>
      <c r="J139" s="183" t="str">
        <f>'COMP CIVIL'!F213</f>
        <v>3840.00</v>
      </c>
      <c r="K139" s="300" t="s">
        <v>300</v>
      </c>
    </row>
    <row r="140" ht="14.25" customHeight="1">
      <c r="A140" s="174"/>
      <c r="B140" s="200"/>
      <c r="C140" s="200"/>
      <c r="D140" s="200"/>
      <c r="E140" s="252"/>
      <c r="F140" s="296"/>
      <c r="G140" s="181"/>
      <c r="H140" s="313" t="s">
        <v>47</v>
      </c>
      <c r="I140" s="314" t="str">
        <f>TRUNC(SUM(I126:I139),2)</f>
        <v>62,770.30</v>
      </c>
      <c r="J140" s="232"/>
      <c r="K140" s="232"/>
    </row>
    <row r="141" ht="14.25" customHeight="1">
      <c r="A141" s="315">
        <v>9.0</v>
      </c>
      <c r="B141" s="316"/>
      <c r="C141" s="317" t="s">
        <v>301</v>
      </c>
      <c r="D141" s="318"/>
      <c r="E141" s="319"/>
      <c r="F141" s="320"/>
      <c r="G141" s="321"/>
      <c r="H141" s="321"/>
      <c r="I141" s="322"/>
      <c r="J141" s="206"/>
      <c r="K141" s="232"/>
    </row>
    <row r="142" ht="15.75" customHeight="1">
      <c r="A142" s="311" t="s">
        <v>302</v>
      </c>
      <c r="B142" s="245"/>
      <c r="C142" s="246" t="s">
        <v>303</v>
      </c>
      <c r="D142" s="245"/>
      <c r="E142" s="247"/>
      <c r="F142" s="248" t="str">
        <f t="shared" ref="F142:F153" si="22">IF(OR(E142&lt;=0)," ",TRUNC(G142,2))</f>
        <v> </v>
      </c>
      <c r="G142" s="249"/>
      <c r="H142" s="249" t="str">
        <f t="shared" ref="H142:H153" si="23">IF(OR(E142&lt;=0)," ",TRUNC((E142*(1+$I$9)),2))</f>
        <v> </v>
      </c>
      <c r="I142" s="250" t="str">
        <f t="shared" ref="I142:I153" si="24">IF(OR(E142&lt;=0)," ",TRUNC((H142*F142),2))</f>
        <v> </v>
      </c>
      <c r="J142" s="323"/>
      <c r="K142" s="324"/>
    </row>
    <row r="143" ht="30.0" customHeight="1">
      <c r="A143" s="261" t="s">
        <v>304</v>
      </c>
      <c r="B143" s="325">
        <v>96135.0</v>
      </c>
      <c r="C143" s="326" t="s">
        <v>305</v>
      </c>
      <c r="D143" s="210" t="s">
        <v>53</v>
      </c>
      <c r="E143" s="252">
        <v>23.534</v>
      </c>
      <c r="F143" s="179" t="str">
        <f t="shared" si="22"/>
        <v>447.85</v>
      </c>
      <c r="G143" s="253">
        <v>447.85</v>
      </c>
      <c r="H143" s="181" t="str">
        <f t="shared" si="23"/>
        <v>28.76</v>
      </c>
      <c r="I143" s="182" t="str">
        <f t="shared" si="24"/>
        <v>12,880.16</v>
      </c>
      <c r="J143" s="259"/>
      <c r="K143" s="324"/>
    </row>
    <row r="144" ht="30.0" customHeight="1">
      <c r="A144" s="261" t="s">
        <v>306</v>
      </c>
      <c r="B144" s="325">
        <v>88485.0</v>
      </c>
      <c r="C144" s="176" t="s">
        <v>307</v>
      </c>
      <c r="D144" s="210" t="s">
        <v>53</v>
      </c>
      <c r="E144" s="252">
        <v>1.9106</v>
      </c>
      <c r="F144" s="179" t="str">
        <f t="shared" si="22"/>
        <v>447.85</v>
      </c>
      <c r="G144" s="253">
        <v>447.85</v>
      </c>
      <c r="H144" s="181" t="str">
        <f t="shared" si="23"/>
        <v>2.33</v>
      </c>
      <c r="I144" s="182" t="str">
        <f t="shared" si="24"/>
        <v>1,043.49</v>
      </c>
      <c r="J144" s="259"/>
      <c r="K144" s="324"/>
    </row>
    <row r="145" ht="30.0" customHeight="1">
      <c r="A145" s="261" t="s">
        <v>308</v>
      </c>
      <c r="B145" s="325">
        <v>88489.0</v>
      </c>
      <c r="C145" s="176" t="s">
        <v>309</v>
      </c>
      <c r="D145" s="210" t="s">
        <v>53</v>
      </c>
      <c r="E145" s="252">
        <v>12.2918</v>
      </c>
      <c r="F145" s="179" t="str">
        <f t="shared" si="22"/>
        <v>447.85</v>
      </c>
      <c r="G145" s="253">
        <v>447.85</v>
      </c>
      <c r="H145" s="181" t="str">
        <f t="shared" si="23"/>
        <v>15.02</v>
      </c>
      <c r="I145" s="182" t="str">
        <f t="shared" si="24"/>
        <v>6,726.70</v>
      </c>
      <c r="J145" s="259"/>
      <c r="K145" s="324"/>
    </row>
    <row r="146" ht="30.0" customHeight="1">
      <c r="A146" s="261" t="s">
        <v>310</v>
      </c>
      <c r="B146" s="325">
        <v>88484.0</v>
      </c>
      <c r="C146" s="176" t="s">
        <v>311</v>
      </c>
      <c r="D146" s="210" t="s">
        <v>53</v>
      </c>
      <c r="E146" s="252">
        <v>2.1566</v>
      </c>
      <c r="F146" s="179" t="str">
        <f t="shared" si="22"/>
        <v>257.43</v>
      </c>
      <c r="G146" s="253">
        <v>257.43</v>
      </c>
      <c r="H146" s="181" t="str">
        <f t="shared" si="23"/>
        <v>2.63</v>
      </c>
      <c r="I146" s="182" t="str">
        <f t="shared" si="24"/>
        <v>677.04</v>
      </c>
      <c r="J146" s="259"/>
      <c r="K146" s="324"/>
    </row>
    <row r="147" ht="30.0" customHeight="1">
      <c r="A147" s="261" t="s">
        <v>312</v>
      </c>
      <c r="B147" s="325">
        <v>88488.0</v>
      </c>
      <c r="C147" s="176" t="s">
        <v>313</v>
      </c>
      <c r="D147" s="210" t="s">
        <v>53</v>
      </c>
      <c r="E147" s="252">
        <v>13.8088</v>
      </c>
      <c r="F147" s="179" t="str">
        <f t="shared" si="22"/>
        <v>215.84</v>
      </c>
      <c r="G147" s="253">
        <v>215.84</v>
      </c>
      <c r="H147" s="181" t="str">
        <f t="shared" si="23"/>
        <v>16.87</v>
      </c>
      <c r="I147" s="182" t="str">
        <f t="shared" si="24"/>
        <v>3,641.22</v>
      </c>
      <c r="J147" s="259"/>
      <c r="K147" s="324"/>
    </row>
    <row r="148" ht="13.5" customHeight="1">
      <c r="A148" s="311" t="s">
        <v>314</v>
      </c>
      <c r="B148" s="245"/>
      <c r="C148" s="246" t="s">
        <v>315</v>
      </c>
      <c r="D148" s="245"/>
      <c r="E148" s="247"/>
      <c r="F148" s="248" t="str">
        <f t="shared" si="22"/>
        <v> </v>
      </c>
      <c r="G148" s="249"/>
      <c r="H148" s="249" t="str">
        <f t="shared" si="23"/>
        <v> </v>
      </c>
      <c r="I148" s="250" t="str">
        <f t="shared" si="24"/>
        <v> </v>
      </c>
      <c r="J148" s="327"/>
      <c r="K148" s="328"/>
    </row>
    <row r="149" ht="33.75" customHeight="1">
      <c r="A149" s="261" t="s">
        <v>316</v>
      </c>
      <c r="B149" s="325">
        <v>88415.0</v>
      </c>
      <c r="C149" s="176" t="s">
        <v>317</v>
      </c>
      <c r="D149" s="210" t="s">
        <v>53</v>
      </c>
      <c r="E149" s="252">
        <v>2.1484</v>
      </c>
      <c r="F149" s="179" t="str">
        <f t="shared" si="22"/>
        <v>436.63</v>
      </c>
      <c r="G149" s="253">
        <v>436.63</v>
      </c>
      <c r="H149" s="181" t="str">
        <f t="shared" si="23"/>
        <v>2.62</v>
      </c>
      <c r="I149" s="182" t="str">
        <f t="shared" si="24"/>
        <v>1,143.97</v>
      </c>
      <c r="J149" s="327"/>
      <c r="K149" s="328"/>
    </row>
    <row r="150" ht="33.75" customHeight="1">
      <c r="A150" s="261" t="s">
        <v>318</v>
      </c>
      <c r="B150" s="200">
        <v>88431.0</v>
      </c>
      <c r="C150" s="176" t="s">
        <v>319</v>
      </c>
      <c r="D150" s="210" t="s">
        <v>53</v>
      </c>
      <c r="E150" s="252">
        <v>17.753</v>
      </c>
      <c r="F150" s="179" t="str">
        <f t="shared" si="22"/>
        <v>436.63</v>
      </c>
      <c r="G150" s="253">
        <v>436.63</v>
      </c>
      <c r="H150" s="181" t="str">
        <f t="shared" si="23"/>
        <v>21.69</v>
      </c>
      <c r="I150" s="182" t="str">
        <f t="shared" si="24"/>
        <v>9,470.50</v>
      </c>
      <c r="J150" s="327"/>
      <c r="K150" s="299" t="s">
        <v>320</v>
      </c>
    </row>
    <row r="151" ht="33.75" customHeight="1">
      <c r="A151" s="261" t="s">
        <v>321</v>
      </c>
      <c r="B151" s="200">
        <v>95626.0</v>
      </c>
      <c r="C151" s="176" t="s">
        <v>322</v>
      </c>
      <c r="D151" s="210" t="s">
        <v>53</v>
      </c>
      <c r="E151" s="252">
        <v>13.005199999999999</v>
      </c>
      <c r="F151" s="179" t="str">
        <f t="shared" si="22"/>
        <v>436.63</v>
      </c>
      <c r="G151" s="253">
        <v>436.63</v>
      </c>
      <c r="H151" s="181" t="str">
        <f t="shared" si="23"/>
        <v>15.89</v>
      </c>
      <c r="I151" s="182" t="str">
        <f t="shared" si="24"/>
        <v>6,938.05</v>
      </c>
      <c r="J151" s="327"/>
      <c r="K151" s="299" t="s">
        <v>323</v>
      </c>
    </row>
    <row r="152" ht="15.75" customHeight="1">
      <c r="A152" s="261" t="s">
        <v>324</v>
      </c>
      <c r="B152" s="329" t="s">
        <v>325</v>
      </c>
      <c r="C152" s="294" t="s">
        <v>326</v>
      </c>
      <c r="D152" s="210" t="s">
        <v>53</v>
      </c>
      <c r="E152" s="252">
        <v>22.8698</v>
      </c>
      <c r="F152" s="179" t="str">
        <f t="shared" si="22"/>
        <v>33.98</v>
      </c>
      <c r="G152" s="253">
        <v>33.98</v>
      </c>
      <c r="H152" s="181" t="str">
        <f t="shared" si="23"/>
        <v>27.95</v>
      </c>
      <c r="I152" s="182" t="str">
        <f t="shared" si="24"/>
        <v>949.74</v>
      </c>
      <c r="J152" s="330" t="str">
        <f>'COMP CIVIL'!F478</f>
        <v>27.89</v>
      </c>
      <c r="K152" s="328" t="s">
        <v>327</v>
      </c>
    </row>
    <row r="153" ht="34.5" customHeight="1">
      <c r="A153" s="261" t="s">
        <v>328</v>
      </c>
      <c r="B153" s="200">
        <v>88488.0</v>
      </c>
      <c r="C153" s="176" t="s">
        <v>313</v>
      </c>
      <c r="D153" s="210" t="s">
        <v>53</v>
      </c>
      <c r="E153" s="252">
        <v>13.8088</v>
      </c>
      <c r="F153" s="179" t="str">
        <f t="shared" si="22"/>
        <v>41.59</v>
      </c>
      <c r="G153" s="253">
        <v>41.59</v>
      </c>
      <c r="H153" s="181" t="str">
        <f t="shared" si="23"/>
        <v>16.87</v>
      </c>
      <c r="I153" s="182" t="str">
        <f t="shared" si="24"/>
        <v>701.62</v>
      </c>
      <c r="J153" s="327"/>
      <c r="K153" s="331" t="s">
        <v>329</v>
      </c>
    </row>
    <row r="154" ht="14.25" customHeight="1">
      <c r="A154" s="185"/>
      <c r="B154" s="188"/>
      <c r="C154" s="188"/>
      <c r="D154" s="188"/>
      <c r="E154" s="252"/>
      <c r="F154" s="190"/>
      <c r="G154" s="191"/>
      <c r="H154" s="192" t="s">
        <v>47</v>
      </c>
      <c r="I154" s="193" t="str">
        <f>TRUNC(SUM(I143:I153),2)</f>
        <v>44,172.49</v>
      </c>
      <c r="K154" s="232"/>
    </row>
    <row r="155" ht="14.25" customHeight="1">
      <c r="A155" s="315">
        <v>10.0</v>
      </c>
      <c r="B155" s="316"/>
      <c r="C155" s="317" t="s">
        <v>330</v>
      </c>
      <c r="D155" s="318"/>
      <c r="E155" s="319"/>
      <c r="F155" s="320"/>
      <c r="G155" s="321"/>
      <c r="H155" s="321"/>
      <c r="I155" s="322"/>
      <c r="J155" s="206"/>
      <c r="K155" s="232"/>
    </row>
    <row r="156" ht="14.25" customHeight="1">
      <c r="A156" s="311" t="s">
        <v>331</v>
      </c>
      <c r="B156" s="245"/>
      <c r="C156" s="246" t="s">
        <v>332</v>
      </c>
      <c r="D156" s="245"/>
      <c r="E156" s="247"/>
      <c r="F156" s="248" t="str">
        <f t="shared" ref="F156:F160" si="25">IF(OR(E156&lt;=0)," ",TRUNC(G156,2))</f>
        <v> </v>
      </c>
      <c r="G156" s="249"/>
      <c r="H156" s="249" t="str">
        <f t="shared" ref="H156:H160" si="26">IF(OR(E156&lt;=0)," ",TRUNC((E156*(1+$I$9)),2))</f>
        <v> </v>
      </c>
      <c r="I156" s="250" t="str">
        <f t="shared" ref="I156:I160" si="27">IF(OR(E156&lt;=0)," ",TRUNC((H156*F156),2))</f>
        <v> </v>
      </c>
      <c r="J156" s="215" t="s">
        <v>333</v>
      </c>
      <c r="K156" s="232"/>
    </row>
    <row r="157" ht="47.25" customHeight="1">
      <c r="A157" s="233" t="s">
        <v>334</v>
      </c>
      <c r="B157" s="257" t="s">
        <v>335</v>
      </c>
      <c r="C157" s="176" t="s">
        <v>336</v>
      </c>
      <c r="D157" s="251" t="s">
        <v>107</v>
      </c>
      <c r="E157" s="252">
        <v>12.4886</v>
      </c>
      <c r="F157" s="179" t="str">
        <f t="shared" si="25"/>
        <v>2,630.84</v>
      </c>
      <c r="G157" s="253">
        <v>2630.84</v>
      </c>
      <c r="H157" s="181" t="str">
        <f t="shared" si="26"/>
        <v>15.26</v>
      </c>
      <c r="I157" s="182" t="str">
        <f t="shared" si="27"/>
        <v>40,146.61</v>
      </c>
      <c r="J157" s="295" t="str">
        <f>'COMP ESTRUT'!F97</f>
        <v>15.23</v>
      </c>
      <c r="K157" s="260"/>
    </row>
    <row r="158" ht="14.25" customHeight="1">
      <c r="A158" s="233" t="s">
        <v>337</v>
      </c>
      <c r="B158" s="257" t="s">
        <v>338</v>
      </c>
      <c r="C158" s="176" t="s">
        <v>339</v>
      </c>
      <c r="D158" s="251" t="s">
        <v>107</v>
      </c>
      <c r="E158" s="252">
        <v>2.624</v>
      </c>
      <c r="F158" s="179" t="str">
        <f t="shared" si="25"/>
        <v>2,630.84</v>
      </c>
      <c r="G158" s="253">
        <v>2630.84</v>
      </c>
      <c r="H158" s="181" t="str">
        <f t="shared" si="26"/>
        <v>3.20</v>
      </c>
      <c r="I158" s="182" t="str">
        <f t="shared" si="27"/>
        <v>8,418.68</v>
      </c>
      <c r="J158" s="332" t="str">
        <f>'COMP ESTRUT'!F108</f>
        <v>3.20</v>
      </c>
      <c r="K158" s="232"/>
    </row>
    <row r="159" ht="30.75" customHeight="1">
      <c r="A159" s="233" t="s">
        <v>340</v>
      </c>
      <c r="B159" s="257" t="s">
        <v>341</v>
      </c>
      <c r="C159" s="176" t="s">
        <v>342</v>
      </c>
      <c r="D159" s="200" t="s">
        <v>46</v>
      </c>
      <c r="E159" s="252">
        <v>6.6748</v>
      </c>
      <c r="F159" s="179" t="str">
        <f t="shared" si="25"/>
        <v>200.00</v>
      </c>
      <c r="G159" s="253">
        <v>200.0</v>
      </c>
      <c r="H159" s="181" t="str">
        <f t="shared" si="26"/>
        <v>8.15</v>
      </c>
      <c r="I159" s="182" t="str">
        <f t="shared" si="27"/>
        <v>1,630.00</v>
      </c>
      <c r="J159" s="332" t="str">
        <f>'COMP ESTRUT'!F119</f>
        <v>8.14</v>
      </c>
      <c r="K159" s="333"/>
    </row>
    <row r="160" ht="42.0" customHeight="1">
      <c r="A160" s="174" t="s">
        <v>343</v>
      </c>
      <c r="B160" s="175">
        <v>100747.0</v>
      </c>
      <c r="C160" s="176" t="s">
        <v>344</v>
      </c>
      <c r="D160" s="210" t="s">
        <v>53</v>
      </c>
      <c r="E160" s="252">
        <v>8.5198</v>
      </c>
      <c r="F160" s="179" t="str">
        <f t="shared" si="25"/>
        <v>159.83</v>
      </c>
      <c r="G160" s="253">
        <v>159.83</v>
      </c>
      <c r="H160" s="181" t="str">
        <f t="shared" si="26"/>
        <v>10.41</v>
      </c>
      <c r="I160" s="182" t="str">
        <f t="shared" si="27"/>
        <v>1,663.83</v>
      </c>
      <c r="J160" s="332"/>
      <c r="K160" s="232"/>
    </row>
    <row r="161" ht="18.0" customHeight="1">
      <c r="A161" s="174"/>
      <c r="B161" s="175"/>
      <c r="C161" s="176"/>
      <c r="D161" s="334"/>
      <c r="E161" s="252"/>
      <c r="F161" s="179"/>
      <c r="G161" s="181"/>
      <c r="H161" s="192" t="s">
        <v>47</v>
      </c>
      <c r="I161" s="193" t="str">
        <f>TRUNC(SUM(I157:I160),2)</f>
        <v>51,859.12</v>
      </c>
      <c r="J161" s="332"/>
      <c r="K161" s="232"/>
    </row>
    <row r="162" ht="14.25" customHeight="1">
      <c r="A162" s="311" t="s">
        <v>345</v>
      </c>
      <c r="B162" s="245"/>
      <c r="C162" s="246" t="s">
        <v>346</v>
      </c>
      <c r="D162" s="245"/>
      <c r="E162" s="247"/>
      <c r="F162" s="248" t="str">
        <f t="shared" ref="F162:F163" si="28">IF(OR(E162&lt;=0)," ",TRUNC(G162,2))</f>
        <v> </v>
      </c>
      <c r="G162" s="249"/>
      <c r="H162" s="249" t="str">
        <f t="shared" ref="H162:H163" si="29">IF(OR(E162&lt;=0)," ",TRUNC((E162*(1+$I$9)),2))</f>
        <v> </v>
      </c>
      <c r="I162" s="250" t="str">
        <f t="shared" ref="I162:I163" si="30">IF(OR(E162&lt;=0)," ",TRUNC((H162*F162),2))</f>
        <v> </v>
      </c>
      <c r="J162" s="335" t="s">
        <v>49</v>
      </c>
      <c r="K162" s="232"/>
    </row>
    <row r="163" ht="14.25" customHeight="1">
      <c r="A163" s="174" t="s">
        <v>347</v>
      </c>
      <c r="B163" s="329" t="s">
        <v>348</v>
      </c>
      <c r="C163" s="213" t="s">
        <v>349</v>
      </c>
      <c r="D163" s="210" t="s">
        <v>53</v>
      </c>
      <c r="E163" s="252">
        <v>139.2196</v>
      </c>
      <c r="F163" s="179" t="str">
        <f t="shared" si="28"/>
        <v>246.01</v>
      </c>
      <c r="G163" s="253">
        <v>246.01</v>
      </c>
      <c r="H163" s="181" t="str">
        <f t="shared" si="29"/>
        <v>170.16</v>
      </c>
      <c r="I163" s="182" t="str">
        <f t="shared" si="30"/>
        <v>41,861.06</v>
      </c>
      <c r="J163" s="336" t="str">
        <f>'COMP CIVIL'!F492</f>
        <v>169.78</v>
      </c>
      <c r="K163" s="232"/>
    </row>
    <row r="164" ht="14.25" customHeight="1">
      <c r="A164" s="185"/>
      <c r="B164" s="188"/>
      <c r="C164" s="188"/>
      <c r="D164" s="188"/>
      <c r="E164" s="252"/>
      <c r="F164" s="190"/>
      <c r="G164" s="191"/>
      <c r="H164" s="337" t="s">
        <v>47</v>
      </c>
      <c r="I164" s="293" t="str">
        <f>I163</f>
        <v>41,861.06</v>
      </c>
      <c r="K164" s="232"/>
    </row>
    <row r="165" ht="14.25" customHeight="1">
      <c r="A165" s="166">
        <v>11.0</v>
      </c>
      <c r="B165" s="167"/>
      <c r="C165" s="168" t="s">
        <v>350</v>
      </c>
      <c r="D165" s="169"/>
      <c r="E165" s="195"/>
      <c r="F165" s="196" t="str">
        <f t="shared" ref="F165:F216" si="31">IF(OR(E165&lt;=0)," ",TRUNC(G165,2))</f>
        <v> </v>
      </c>
      <c r="G165" s="197"/>
      <c r="H165" s="197" t="str">
        <f t="shared" ref="H165:H216" si="32">IF(OR(E165&lt;=0)," ",TRUNC((E165*(1+$I$9)),2))</f>
        <v> </v>
      </c>
      <c r="I165" s="172" t="str">
        <f t="shared" ref="I165:I216" si="33">IF(OR(E165&lt;=0)," ",TRUNC((H165*F165),2))</f>
        <v> </v>
      </c>
      <c r="J165" s="206" t="s">
        <v>351</v>
      </c>
      <c r="K165" s="232"/>
    </row>
    <row r="166" ht="18.0" customHeight="1">
      <c r="A166" s="338" t="s">
        <v>352</v>
      </c>
      <c r="B166" s="339"/>
      <c r="C166" s="340" t="s">
        <v>353</v>
      </c>
      <c r="D166" s="339"/>
      <c r="E166" s="341"/>
      <c r="F166" s="342" t="str">
        <f t="shared" si="31"/>
        <v> </v>
      </c>
      <c r="G166" s="343"/>
      <c r="H166" s="343" t="str">
        <f t="shared" si="32"/>
        <v> </v>
      </c>
      <c r="I166" s="344" t="str">
        <f t="shared" si="33"/>
        <v> </v>
      </c>
      <c r="J166" s="173"/>
      <c r="K166" s="273"/>
    </row>
    <row r="167" ht="45.75" customHeight="1">
      <c r="A167" s="261" t="s">
        <v>354</v>
      </c>
      <c r="B167" s="200">
        <v>101880.0</v>
      </c>
      <c r="C167" s="176" t="s">
        <v>355</v>
      </c>
      <c r="D167" s="345" t="s">
        <v>46</v>
      </c>
      <c r="E167" s="252">
        <v>684.905</v>
      </c>
      <c r="F167" s="179" t="str">
        <f t="shared" si="31"/>
        <v>1.00</v>
      </c>
      <c r="G167" s="346">
        <v>1.0</v>
      </c>
      <c r="H167" s="181" t="str">
        <f t="shared" si="32"/>
        <v>837.15</v>
      </c>
      <c r="I167" s="182" t="str">
        <f t="shared" si="33"/>
        <v>837.15</v>
      </c>
      <c r="J167" s="204"/>
      <c r="K167" s="232"/>
    </row>
    <row r="168" ht="32.25" customHeight="1">
      <c r="A168" s="261" t="s">
        <v>356</v>
      </c>
      <c r="B168" s="347" t="s">
        <v>357</v>
      </c>
      <c r="C168" s="176" t="s">
        <v>358</v>
      </c>
      <c r="D168" s="345" t="s">
        <v>46</v>
      </c>
      <c r="E168" s="252">
        <v>440.4548</v>
      </c>
      <c r="F168" s="179" t="str">
        <f t="shared" si="31"/>
        <v>1.00</v>
      </c>
      <c r="G168" s="346">
        <v>1.0</v>
      </c>
      <c r="H168" s="181" t="str">
        <f t="shared" si="32"/>
        <v>538.36</v>
      </c>
      <c r="I168" s="182" t="str">
        <f t="shared" si="33"/>
        <v>538.36</v>
      </c>
      <c r="J168" s="183" t="str">
        <f>'COMP ELE'!F315</f>
        <v>537.14</v>
      </c>
      <c r="K168" s="255" t="s">
        <v>359</v>
      </c>
    </row>
    <row r="169" ht="34.5" customHeight="1">
      <c r="A169" s="261" t="s">
        <v>360</v>
      </c>
      <c r="B169" s="200">
        <v>91935.0</v>
      </c>
      <c r="C169" s="176" t="s">
        <v>361</v>
      </c>
      <c r="D169" s="222" t="s">
        <v>69</v>
      </c>
      <c r="E169" s="252">
        <v>18.8928</v>
      </c>
      <c r="F169" s="179" t="str">
        <f t="shared" si="31"/>
        <v>19.50</v>
      </c>
      <c r="G169" s="346">
        <v>19.5</v>
      </c>
      <c r="H169" s="181" t="str">
        <f t="shared" si="32"/>
        <v>23.09</v>
      </c>
      <c r="I169" s="182" t="str">
        <f t="shared" si="33"/>
        <v>450.25</v>
      </c>
      <c r="J169" s="348"/>
      <c r="K169" s="349"/>
    </row>
    <row r="170" ht="43.5" customHeight="1">
      <c r="A170" s="261" t="s">
        <v>362</v>
      </c>
      <c r="B170" s="200">
        <v>92984.0</v>
      </c>
      <c r="C170" s="176" t="s">
        <v>363</v>
      </c>
      <c r="D170" s="222" t="s">
        <v>69</v>
      </c>
      <c r="E170" s="252">
        <v>21.5004</v>
      </c>
      <c r="F170" s="179" t="str">
        <f t="shared" si="31"/>
        <v>78.00</v>
      </c>
      <c r="G170" s="350">
        <v>78.0</v>
      </c>
      <c r="H170" s="181" t="str">
        <f t="shared" si="32"/>
        <v>26.27</v>
      </c>
      <c r="I170" s="182" t="str">
        <f t="shared" si="33"/>
        <v>2,049.06</v>
      </c>
      <c r="J170" s="348"/>
      <c r="K170" s="349"/>
    </row>
    <row r="171" ht="33.0" customHeight="1">
      <c r="A171" s="261" t="s">
        <v>364</v>
      </c>
      <c r="B171" s="200">
        <v>91926.0</v>
      </c>
      <c r="C171" s="176" t="s">
        <v>365</v>
      </c>
      <c r="D171" s="222" t="s">
        <v>69</v>
      </c>
      <c r="E171" s="252">
        <v>3.2554000000000003</v>
      </c>
      <c r="F171" s="179" t="str">
        <f t="shared" si="31"/>
        <v>1,144.10</v>
      </c>
      <c r="G171" s="346">
        <v>1144.1</v>
      </c>
      <c r="H171" s="181" t="str">
        <f t="shared" si="32"/>
        <v>3.97</v>
      </c>
      <c r="I171" s="182" t="str">
        <f t="shared" si="33"/>
        <v>4,542.07</v>
      </c>
      <c r="J171" s="348"/>
      <c r="K171" s="349"/>
    </row>
    <row r="172" ht="33.0" customHeight="1">
      <c r="A172" s="261" t="s">
        <v>366</v>
      </c>
      <c r="B172" s="200">
        <v>91928.0</v>
      </c>
      <c r="C172" s="176" t="s">
        <v>367</v>
      </c>
      <c r="D172" s="222" t="s">
        <v>69</v>
      </c>
      <c r="E172" s="252">
        <v>5.0184</v>
      </c>
      <c r="F172" s="179" t="str">
        <f t="shared" si="31"/>
        <v>212.60</v>
      </c>
      <c r="G172" s="346">
        <v>212.6</v>
      </c>
      <c r="H172" s="181" t="str">
        <f t="shared" si="32"/>
        <v>6.13</v>
      </c>
      <c r="I172" s="182" t="str">
        <f t="shared" si="33"/>
        <v>1,303.23</v>
      </c>
      <c r="J172" s="348"/>
      <c r="K172" s="349"/>
    </row>
    <row r="173" ht="35.25" customHeight="1">
      <c r="A173" s="261" t="s">
        <v>368</v>
      </c>
      <c r="B173" s="200">
        <v>91924.0</v>
      </c>
      <c r="C173" s="176" t="s">
        <v>369</v>
      </c>
      <c r="D173" s="222" t="s">
        <v>69</v>
      </c>
      <c r="E173" s="252">
        <v>2.2468000000000004</v>
      </c>
      <c r="F173" s="179" t="str">
        <f t="shared" si="31"/>
        <v>390.30</v>
      </c>
      <c r="G173" s="346">
        <v>390.3</v>
      </c>
      <c r="H173" s="181" t="str">
        <f t="shared" si="32"/>
        <v>2.74</v>
      </c>
      <c r="I173" s="182" t="str">
        <f t="shared" si="33"/>
        <v>1,069.42</v>
      </c>
      <c r="J173" s="348"/>
      <c r="K173" s="349"/>
    </row>
    <row r="174" ht="21.0" customHeight="1">
      <c r="A174" s="261" t="s">
        <v>370</v>
      </c>
      <c r="B174" s="347" t="s">
        <v>371</v>
      </c>
      <c r="C174" s="176" t="s">
        <v>372</v>
      </c>
      <c r="D174" s="351" t="s">
        <v>46</v>
      </c>
      <c r="E174" s="252">
        <v>22.099</v>
      </c>
      <c r="F174" s="179" t="str">
        <f t="shared" si="31"/>
        <v>23.00</v>
      </c>
      <c r="G174" s="346">
        <v>23.0</v>
      </c>
      <c r="H174" s="181" t="str">
        <f t="shared" si="32"/>
        <v>27.01</v>
      </c>
      <c r="I174" s="182" t="str">
        <f t="shared" si="33"/>
        <v>621.23</v>
      </c>
      <c r="J174" s="352" t="str">
        <f>'COMP ELE'!F542</f>
        <v>26.95</v>
      </c>
      <c r="K174" s="353"/>
    </row>
    <row r="175" ht="21.0" customHeight="1">
      <c r="A175" s="261" t="s">
        <v>373</v>
      </c>
      <c r="B175" s="175" t="s">
        <v>374</v>
      </c>
      <c r="C175" s="176" t="s">
        <v>375</v>
      </c>
      <c r="D175" s="351" t="s">
        <v>46</v>
      </c>
      <c r="E175" s="252">
        <v>27.4208</v>
      </c>
      <c r="F175" s="179" t="str">
        <f t="shared" si="31"/>
        <v>1.00</v>
      </c>
      <c r="G175" s="346">
        <v>1.0</v>
      </c>
      <c r="H175" s="181" t="str">
        <f t="shared" si="32"/>
        <v>33.51</v>
      </c>
      <c r="I175" s="182" t="str">
        <f t="shared" si="33"/>
        <v>33.51</v>
      </c>
      <c r="J175" s="352" t="str">
        <f>'COMP ELE'!F590</f>
        <v>33.44</v>
      </c>
      <c r="K175" s="353"/>
    </row>
    <row r="176" ht="21.0" customHeight="1">
      <c r="A176" s="261" t="s">
        <v>376</v>
      </c>
      <c r="B176" s="175" t="s">
        <v>377</v>
      </c>
      <c r="C176" s="176" t="s">
        <v>378</v>
      </c>
      <c r="D176" s="351" t="s">
        <v>46</v>
      </c>
      <c r="E176" s="252">
        <v>22.099</v>
      </c>
      <c r="F176" s="179" t="str">
        <f t="shared" si="31"/>
        <v>2.00</v>
      </c>
      <c r="G176" s="346">
        <v>2.0</v>
      </c>
      <c r="H176" s="181" t="str">
        <f t="shared" si="32"/>
        <v>27.01</v>
      </c>
      <c r="I176" s="182" t="str">
        <f t="shared" si="33"/>
        <v>54.02</v>
      </c>
      <c r="J176" s="352" t="str">
        <f>'COMP ELE'!F566</f>
        <v>26.95</v>
      </c>
      <c r="K176" s="353"/>
    </row>
    <row r="177" ht="21.0" customHeight="1">
      <c r="A177" s="261" t="s">
        <v>379</v>
      </c>
      <c r="B177" s="175" t="s">
        <v>380</v>
      </c>
      <c r="C177" s="176" t="s">
        <v>381</v>
      </c>
      <c r="D177" s="351" t="s">
        <v>46</v>
      </c>
      <c r="E177" s="252">
        <v>24.2392</v>
      </c>
      <c r="F177" s="179" t="str">
        <f t="shared" si="31"/>
        <v>1.00</v>
      </c>
      <c r="G177" s="346">
        <v>1.0</v>
      </c>
      <c r="H177" s="181" t="str">
        <f t="shared" si="32"/>
        <v>29.62</v>
      </c>
      <c r="I177" s="182" t="str">
        <f t="shared" si="33"/>
        <v>29.62</v>
      </c>
      <c r="J177" s="352" t="str">
        <f>'COMP ELE'!F578</f>
        <v>29.56</v>
      </c>
      <c r="K177" s="353"/>
    </row>
    <row r="178" ht="21.0" customHeight="1">
      <c r="A178" s="261" t="s">
        <v>382</v>
      </c>
      <c r="B178" s="175" t="s">
        <v>383</v>
      </c>
      <c r="C178" s="176" t="s">
        <v>384</v>
      </c>
      <c r="D178" s="351" t="s">
        <v>46</v>
      </c>
      <c r="E178" s="252">
        <v>23.1486</v>
      </c>
      <c r="F178" s="179" t="str">
        <f t="shared" si="31"/>
        <v>1.00</v>
      </c>
      <c r="G178" s="346">
        <v>1.0</v>
      </c>
      <c r="H178" s="181" t="str">
        <f t="shared" si="32"/>
        <v>28.29</v>
      </c>
      <c r="I178" s="182" t="str">
        <f t="shared" si="33"/>
        <v>28.29</v>
      </c>
      <c r="J178" s="352" t="str">
        <f>'COMP ELE'!F554</f>
        <v>28.23</v>
      </c>
      <c r="K178" s="353"/>
    </row>
    <row r="179" ht="45.75" customHeight="1">
      <c r="A179" s="261" t="s">
        <v>385</v>
      </c>
      <c r="B179" s="236">
        <v>91879.0</v>
      </c>
      <c r="C179" s="176" t="s">
        <v>386</v>
      </c>
      <c r="D179" s="351" t="s">
        <v>46</v>
      </c>
      <c r="E179" s="252">
        <v>6.1582</v>
      </c>
      <c r="F179" s="179" t="str">
        <f t="shared" si="31"/>
        <v>4.00</v>
      </c>
      <c r="G179" s="346">
        <v>4.0</v>
      </c>
      <c r="H179" s="181" t="str">
        <f t="shared" si="32"/>
        <v>7.52</v>
      </c>
      <c r="I179" s="182" t="str">
        <f t="shared" si="33"/>
        <v>30.08</v>
      </c>
      <c r="J179" s="183"/>
      <c r="K179" s="349">
        <v>7.51</v>
      </c>
    </row>
    <row r="180" ht="18.0" customHeight="1">
      <c r="A180" s="261" t="s">
        <v>387</v>
      </c>
      <c r="B180" s="347" t="s">
        <v>388</v>
      </c>
      <c r="C180" s="176" t="s">
        <v>389</v>
      </c>
      <c r="D180" s="351" t="s">
        <v>46</v>
      </c>
      <c r="E180" s="252">
        <v>286.2374</v>
      </c>
      <c r="F180" s="179" t="str">
        <f t="shared" si="31"/>
        <v>1.00</v>
      </c>
      <c r="G180" s="350">
        <v>1.0</v>
      </c>
      <c r="H180" s="181" t="str">
        <f t="shared" si="32"/>
        <v>349.86</v>
      </c>
      <c r="I180" s="182" t="str">
        <f t="shared" si="33"/>
        <v>349.86</v>
      </c>
      <c r="J180" s="183" t="str">
        <f>'COMP ELE'!F326</f>
        <v>349.07</v>
      </c>
      <c r="K180" s="232"/>
    </row>
    <row r="181" ht="31.5" customHeight="1">
      <c r="A181" s="261" t="s">
        <v>390</v>
      </c>
      <c r="B181" s="200">
        <v>91953.0</v>
      </c>
      <c r="C181" s="176" t="s">
        <v>391</v>
      </c>
      <c r="D181" s="351" t="s">
        <v>46</v>
      </c>
      <c r="E181" s="252">
        <v>19.6308</v>
      </c>
      <c r="F181" s="179" t="str">
        <f t="shared" si="31"/>
        <v>17.00</v>
      </c>
      <c r="G181" s="350">
        <v>17.0</v>
      </c>
      <c r="H181" s="181" t="str">
        <f t="shared" si="32"/>
        <v>23.99</v>
      </c>
      <c r="I181" s="182" t="str">
        <f t="shared" si="33"/>
        <v>407.83</v>
      </c>
      <c r="J181" s="263"/>
      <c r="K181" s="285" t="s">
        <v>392</v>
      </c>
      <c r="L181" s="349">
        <v>23.94</v>
      </c>
    </row>
    <row r="182" ht="33.0" customHeight="1">
      <c r="A182" s="261" t="s">
        <v>393</v>
      </c>
      <c r="B182" s="200">
        <v>91959.0</v>
      </c>
      <c r="C182" s="176" t="s">
        <v>394</v>
      </c>
      <c r="D182" s="351" t="s">
        <v>46</v>
      </c>
      <c r="E182" s="252">
        <v>31.086199999999998</v>
      </c>
      <c r="F182" s="179" t="str">
        <f t="shared" si="31"/>
        <v>1.00</v>
      </c>
      <c r="G182" s="350">
        <v>1.0</v>
      </c>
      <c r="H182" s="181" t="str">
        <f t="shared" si="32"/>
        <v>37.99</v>
      </c>
      <c r="I182" s="182" t="str">
        <f t="shared" si="33"/>
        <v>37.99</v>
      </c>
      <c r="J182" s="263"/>
      <c r="K182" s="232"/>
      <c r="L182" s="349">
        <v>37.91</v>
      </c>
    </row>
    <row r="183" ht="21.0" customHeight="1">
      <c r="A183" s="261" t="s">
        <v>395</v>
      </c>
      <c r="B183" s="175" t="s">
        <v>396</v>
      </c>
      <c r="C183" s="176" t="s">
        <v>397</v>
      </c>
      <c r="D183" s="351" t="s">
        <v>46</v>
      </c>
      <c r="E183" s="252">
        <v>8.708400000000001</v>
      </c>
      <c r="F183" s="179" t="str">
        <f t="shared" si="31"/>
        <v>8.00</v>
      </c>
      <c r="G183" s="350">
        <v>8.0</v>
      </c>
      <c r="H183" s="181" t="str">
        <f t="shared" si="32"/>
        <v>10.64</v>
      </c>
      <c r="I183" s="182" t="str">
        <f t="shared" si="33"/>
        <v>85.12</v>
      </c>
      <c r="J183" s="260" t="str">
        <f>'COMP ELE'!F343</f>
        <v>10.62</v>
      </c>
      <c r="K183" s="353"/>
    </row>
    <row r="184" ht="33.0" customHeight="1">
      <c r="A184" s="261" t="s">
        <v>398</v>
      </c>
      <c r="B184" s="200">
        <v>91967.0</v>
      </c>
      <c r="C184" s="176" t="s">
        <v>399</v>
      </c>
      <c r="D184" s="351" t="s">
        <v>46</v>
      </c>
      <c r="E184" s="252">
        <v>42.5252</v>
      </c>
      <c r="F184" s="179" t="str">
        <f t="shared" si="31"/>
        <v>1.00</v>
      </c>
      <c r="G184" s="346">
        <v>1.0</v>
      </c>
      <c r="H184" s="181" t="str">
        <f t="shared" si="32"/>
        <v>51.97</v>
      </c>
      <c r="I184" s="182" t="str">
        <f t="shared" si="33"/>
        <v>51.97</v>
      </c>
      <c r="J184" s="354"/>
      <c r="K184" s="232"/>
    </row>
    <row r="185" ht="33.0" customHeight="1">
      <c r="A185" s="261" t="s">
        <v>400</v>
      </c>
      <c r="B185" s="200">
        <v>92022.0</v>
      </c>
      <c r="C185" s="176" t="s">
        <v>401</v>
      </c>
      <c r="D185" s="351" t="s">
        <v>46</v>
      </c>
      <c r="E185" s="252">
        <v>29.0198</v>
      </c>
      <c r="F185" s="179" t="str">
        <f t="shared" si="31"/>
        <v>5.00</v>
      </c>
      <c r="G185" s="346">
        <v>5.0</v>
      </c>
      <c r="H185" s="181" t="str">
        <f t="shared" si="32"/>
        <v>35.47</v>
      </c>
      <c r="I185" s="182" t="str">
        <f t="shared" si="33"/>
        <v>177.35</v>
      </c>
      <c r="J185" s="354"/>
      <c r="K185" s="355" t="s">
        <v>402</v>
      </c>
    </row>
    <row r="186" ht="45.75" customHeight="1">
      <c r="A186" s="261" t="s">
        <v>403</v>
      </c>
      <c r="B186" s="200">
        <v>92028.0</v>
      </c>
      <c r="C186" s="176" t="s">
        <v>404</v>
      </c>
      <c r="D186" s="351" t="s">
        <v>46</v>
      </c>
      <c r="E186" s="252">
        <v>33.743</v>
      </c>
      <c r="F186" s="179" t="str">
        <f t="shared" si="31"/>
        <v>1.00</v>
      </c>
      <c r="G186" s="346">
        <v>1.0</v>
      </c>
      <c r="H186" s="181" t="str">
        <f t="shared" si="32"/>
        <v>41.24</v>
      </c>
      <c r="I186" s="182" t="str">
        <f t="shared" si="33"/>
        <v>41.24</v>
      </c>
      <c r="J186" s="354"/>
      <c r="K186" s="355" t="s">
        <v>405</v>
      </c>
    </row>
    <row r="187" ht="33.0" customHeight="1">
      <c r="A187" s="261" t="s">
        <v>406</v>
      </c>
      <c r="B187" s="200">
        <v>91994.0</v>
      </c>
      <c r="C187" s="176" t="s">
        <v>407</v>
      </c>
      <c r="D187" s="351" t="s">
        <v>46</v>
      </c>
      <c r="E187" s="252">
        <v>17.6054</v>
      </c>
      <c r="F187" s="179" t="str">
        <f t="shared" si="31"/>
        <v>2.00</v>
      </c>
      <c r="G187" s="346">
        <v>2.0</v>
      </c>
      <c r="H187" s="181" t="str">
        <f t="shared" si="32"/>
        <v>21.51</v>
      </c>
      <c r="I187" s="182" t="str">
        <f t="shared" si="33"/>
        <v>43.02</v>
      </c>
      <c r="J187" s="354"/>
      <c r="K187" s="232"/>
    </row>
    <row r="188" ht="14.25" customHeight="1">
      <c r="A188" s="261" t="s">
        <v>408</v>
      </c>
      <c r="B188" s="200">
        <v>92000.0</v>
      </c>
      <c r="C188" s="176" t="s">
        <v>409</v>
      </c>
      <c r="D188" s="345" t="s">
        <v>46</v>
      </c>
      <c r="E188" s="252">
        <v>20.7296</v>
      </c>
      <c r="F188" s="179" t="str">
        <f t="shared" si="31"/>
        <v>32.00</v>
      </c>
      <c r="G188" s="346">
        <v>32.0</v>
      </c>
      <c r="H188" s="181" t="str">
        <f t="shared" si="32"/>
        <v>25.33</v>
      </c>
      <c r="I188" s="182" t="str">
        <f t="shared" si="33"/>
        <v>810.56</v>
      </c>
      <c r="J188" s="354"/>
      <c r="K188" s="263"/>
    </row>
    <row r="189" ht="14.25" customHeight="1">
      <c r="A189" s="261" t="s">
        <v>410</v>
      </c>
      <c r="B189" s="200">
        <v>91997.0</v>
      </c>
      <c r="C189" s="176" t="s">
        <v>411</v>
      </c>
      <c r="D189" s="345" t="s">
        <v>46</v>
      </c>
      <c r="E189" s="252">
        <v>25.1412</v>
      </c>
      <c r="F189" s="179" t="str">
        <f t="shared" si="31"/>
        <v>2.00</v>
      </c>
      <c r="G189" s="346">
        <v>2.0</v>
      </c>
      <c r="H189" s="181" t="str">
        <f t="shared" si="32"/>
        <v>30.73</v>
      </c>
      <c r="I189" s="182" t="str">
        <f t="shared" si="33"/>
        <v>61.46</v>
      </c>
      <c r="J189" s="354"/>
      <c r="K189" s="263"/>
    </row>
    <row r="190" ht="33.0" customHeight="1">
      <c r="A190" s="261" t="s">
        <v>412</v>
      </c>
      <c r="B190" s="200">
        <v>91992.0</v>
      </c>
      <c r="C190" s="176" t="s">
        <v>413</v>
      </c>
      <c r="D190" s="345" t="s">
        <v>46</v>
      </c>
      <c r="E190" s="252">
        <v>30.684400000000004</v>
      </c>
      <c r="F190" s="179" t="str">
        <f t="shared" si="31"/>
        <v>2.00</v>
      </c>
      <c r="G190" s="346">
        <v>2.0</v>
      </c>
      <c r="H190" s="181" t="str">
        <f t="shared" si="32"/>
        <v>37.50</v>
      </c>
      <c r="I190" s="182" t="str">
        <f t="shared" si="33"/>
        <v>75.00</v>
      </c>
      <c r="J190" s="354"/>
      <c r="K190" s="263"/>
    </row>
    <row r="191" ht="14.25" customHeight="1">
      <c r="A191" s="261" t="s">
        <v>414</v>
      </c>
      <c r="B191" s="200">
        <v>92009.0</v>
      </c>
      <c r="C191" s="176" t="s">
        <v>415</v>
      </c>
      <c r="D191" s="345" t="s">
        <v>46</v>
      </c>
      <c r="E191" s="252">
        <v>36.49</v>
      </c>
      <c r="F191" s="179" t="str">
        <f t="shared" si="31"/>
        <v>19.00</v>
      </c>
      <c r="G191" s="346">
        <v>19.0</v>
      </c>
      <c r="H191" s="181" t="str">
        <f t="shared" si="32"/>
        <v>44.60</v>
      </c>
      <c r="I191" s="182" t="str">
        <f t="shared" si="33"/>
        <v>847.40</v>
      </c>
      <c r="J191" s="354"/>
      <c r="K191" s="263"/>
    </row>
    <row r="192" ht="14.25" customHeight="1">
      <c r="A192" s="261" t="s">
        <v>416</v>
      </c>
      <c r="B192" s="200">
        <v>93653.0</v>
      </c>
      <c r="C192" s="176" t="s">
        <v>417</v>
      </c>
      <c r="D192" s="345" t="s">
        <v>46</v>
      </c>
      <c r="E192" s="252">
        <v>10.3402</v>
      </c>
      <c r="F192" s="179" t="str">
        <f t="shared" si="31"/>
        <v>15.00</v>
      </c>
      <c r="G192" s="346">
        <v>15.0</v>
      </c>
      <c r="H192" s="181" t="str">
        <f t="shared" si="32"/>
        <v>12.63</v>
      </c>
      <c r="I192" s="182" t="str">
        <f t="shared" si="33"/>
        <v>189.45</v>
      </c>
      <c r="J192" s="354"/>
      <c r="K192" s="232"/>
    </row>
    <row r="193" ht="14.25" customHeight="1">
      <c r="A193" s="261" t="s">
        <v>418</v>
      </c>
      <c r="B193" s="200">
        <v>93661.0</v>
      </c>
      <c r="C193" s="176" t="s">
        <v>419</v>
      </c>
      <c r="D193" s="345" t="s">
        <v>46</v>
      </c>
      <c r="E193" s="252">
        <v>52.340599999999995</v>
      </c>
      <c r="F193" s="179" t="str">
        <f t="shared" si="31"/>
        <v>5.00</v>
      </c>
      <c r="G193" s="346">
        <v>5.0</v>
      </c>
      <c r="H193" s="181" t="str">
        <f t="shared" si="32"/>
        <v>63.97</v>
      </c>
      <c r="I193" s="182" t="str">
        <f t="shared" si="33"/>
        <v>319.85</v>
      </c>
      <c r="J193" s="354"/>
      <c r="K193" s="232"/>
    </row>
    <row r="194" ht="14.25" customHeight="1">
      <c r="A194" s="261" t="s">
        <v>420</v>
      </c>
      <c r="B194" s="200">
        <v>93660.0</v>
      </c>
      <c r="C194" s="176" t="s">
        <v>421</v>
      </c>
      <c r="D194" s="345" t="s">
        <v>46</v>
      </c>
      <c r="E194" s="252">
        <v>51.3894</v>
      </c>
      <c r="F194" s="179" t="str">
        <f t="shared" si="31"/>
        <v>4.00</v>
      </c>
      <c r="G194" s="346">
        <v>4.0</v>
      </c>
      <c r="H194" s="181" t="str">
        <f t="shared" si="32"/>
        <v>62.81</v>
      </c>
      <c r="I194" s="182" t="str">
        <f t="shared" si="33"/>
        <v>251.24</v>
      </c>
      <c r="J194" s="354"/>
      <c r="K194" s="232"/>
    </row>
    <row r="195" ht="14.25" customHeight="1">
      <c r="A195" s="261" t="s">
        <v>422</v>
      </c>
      <c r="B195" s="200">
        <v>101895.0</v>
      </c>
      <c r="C195" s="176" t="s">
        <v>423</v>
      </c>
      <c r="D195" s="345" t="s">
        <v>46</v>
      </c>
      <c r="E195" s="252">
        <v>378.25780000000003</v>
      </c>
      <c r="F195" s="179" t="str">
        <f t="shared" si="31"/>
        <v>1.00</v>
      </c>
      <c r="G195" s="346">
        <v>1.0</v>
      </c>
      <c r="H195" s="181" t="str">
        <f t="shared" si="32"/>
        <v>462.34</v>
      </c>
      <c r="I195" s="182" t="str">
        <f t="shared" si="33"/>
        <v>462.34</v>
      </c>
      <c r="J195" s="354"/>
      <c r="K195" s="232"/>
    </row>
    <row r="196" ht="14.25" customHeight="1">
      <c r="A196" s="261" t="s">
        <v>424</v>
      </c>
      <c r="B196" s="175" t="s">
        <v>425</v>
      </c>
      <c r="C196" s="176" t="s">
        <v>426</v>
      </c>
      <c r="D196" s="345" t="s">
        <v>46</v>
      </c>
      <c r="E196" s="252">
        <v>254.5034</v>
      </c>
      <c r="F196" s="179" t="str">
        <f t="shared" si="31"/>
        <v>1.00</v>
      </c>
      <c r="G196" s="350">
        <v>1.0</v>
      </c>
      <c r="H196" s="181" t="str">
        <f t="shared" si="32"/>
        <v>311.07</v>
      </c>
      <c r="I196" s="182" t="str">
        <f t="shared" si="33"/>
        <v>311.07</v>
      </c>
      <c r="J196" s="183" t="str">
        <f>'COMP ELE'!F371</f>
        <v>310.37</v>
      </c>
      <c r="K196" s="232"/>
    </row>
    <row r="197" ht="14.25" customHeight="1">
      <c r="A197" s="261" t="s">
        <v>427</v>
      </c>
      <c r="B197" s="175" t="s">
        <v>428</v>
      </c>
      <c r="C197" s="176" t="s">
        <v>429</v>
      </c>
      <c r="D197" s="345" t="s">
        <v>46</v>
      </c>
      <c r="E197" s="252">
        <v>270.3704</v>
      </c>
      <c r="F197" s="179" t="str">
        <f t="shared" si="31"/>
        <v>1.00</v>
      </c>
      <c r="G197" s="350">
        <v>1.0</v>
      </c>
      <c r="H197" s="181" t="str">
        <f t="shared" si="32"/>
        <v>330.47</v>
      </c>
      <c r="I197" s="182" t="str">
        <f t="shared" si="33"/>
        <v>330.47</v>
      </c>
      <c r="J197" s="183" t="str">
        <f>'COMP ELE'!F399</f>
        <v>329.72</v>
      </c>
      <c r="K197" s="232"/>
    </row>
    <row r="198" ht="14.25" customHeight="1">
      <c r="A198" s="261" t="s">
        <v>430</v>
      </c>
      <c r="B198" s="200">
        <v>91941.0</v>
      </c>
      <c r="C198" s="176" t="s">
        <v>431</v>
      </c>
      <c r="D198" s="345" t="s">
        <v>46</v>
      </c>
      <c r="E198" s="252">
        <v>8.101600000000001</v>
      </c>
      <c r="F198" s="179" t="str">
        <f t="shared" si="31"/>
        <v>54.00</v>
      </c>
      <c r="G198" s="346">
        <v>54.0</v>
      </c>
      <c r="H198" s="181" t="str">
        <f t="shared" si="32"/>
        <v>9.90</v>
      </c>
      <c r="I198" s="182" t="str">
        <f t="shared" si="33"/>
        <v>534.60</v>
      </c>
      <c r="K198" s="349">
        <v>9.88</v>
      </c>
    </row>
    <row r="199" ht="14.25" customHeight="1">
      <c r="A199" s="261" t="s">
        <v>432</v>
      </c>
      <c r="B199" s="200">
        <v>91940.0</v>
      </c>
      <c r="C199" s="176" t="s">
        <v>433</v>
      </c>
      <c r="D199" s="351" t="s">
        <v>46</v>
      </c>
      <c r="E199" s="252">
        <v>11.988399999999999</v>
      </c>
      <c r="F199" s="179" t="str">
        <f t="shared" si="31"/>
        <v>16.00</v>
      </c>
      <c r="G199" s="346">
        <v>16.0</v>
      </c>
      <c r="H199" s="181" t="str">
        <f t="shared" si="32"/>
        <v>14.65</v>
      </c>
      <c r="I199" s="182" t="str">
        <f t="shared" si="33"/>
        <v>234.40</v>
      </c>
      <c r="K199" s="349">
        <v>14.62</v>
      </c>
    </row>
    <row r="200" ht="14.25" customHeight="1">
      <c r="A200" s="261" t="s">
        <v>434</v>
      </c>
      <c r="B200" s="356">
        <v>91939.0</v>
      </c>
      <c r="C200" s="357" t="s">
        <v>435</v>
      </c>
      <c r="D200" s="345" t="s">
        <v>46</v>
      </c>
      <c r="E200" s="252">
        <v>22.369600000000002</v>
      </c>
      <c r="F200" s="227" t="str">
        <f t="shared" si="31"/>
        <v>9.00</v>
      </c>
      <c r="G200" s="358">
        <v>9.0</v>
      </c>
      <c r="H200" s="229" t="str">
        <f t="shared" si="32"/>
        <v>27.34</v>
      </c>
      <c r="I200" s="230" t="str">
        <f t="shared" si="33"/>
        <v>246.06</v>
      </c>
      <c r="K200" s="359">
        <v>27.28</v>
      </c>
    </row>
    <row r="201" ht="14.25" customHeight="1">
      <c r="A201" s="261" t="s">
        <v>436</v>
      </c>
      <c r="B201" s="347" t="s">
        <v>437</v>
      </c>
      <c r="C201" s="176" t="s">
        <v>438</v>
      </c>
      <c r="D201" s="345" t="s">
        <v>46</v>
      </c>
      <c r="E201" s="252">
        <v>80.9668</v>
      </c>
      <c r="F201" s="179" t="str">
        <f t="shared" si="31"/>
        <v>2.00</v>
      </c>
      <c r="G201" s="346">
        <v>2.0</v>
      </c>
      <c r="H201" s="181" t="str">
        <f t="shared" si="32"/>
        <v>98.96</v>
      </c>
      <c r="I201" s="182" t="str">
        <f t="shared" si="33"/>
        <v>197.92</v>
      </c>
      <c r="J201" s="183" t="str">
        <f>'COMP ELE'!F360</f>
        <v>98.74</v>
      </c>
      <c r="K201" s="238"/>
    </row>
    <row r="202" ht="14.25" customHeight="1">
      <c r="A202" s="261" t="s">
        <v>439</v>
      </c>
      <c r="B202" s="347" t="s">
        <v>440</v>
      </c>
      <c r="C202" s="176" t="s">
        <v>441</v>
      </c>
      <c r="D202" s="345" t="s">
        <v>46</v>
      </c>
      <c r="E202" s="252">
        <v>122.1308</v>
      </c>
      <c r="F202" s="179" t="str">
        <f t="shared" si="31"/>
        <v>5.00</v>
      </c>
      <c r="G202" s="346">
        <v>5.0</v>
      </c>
      <c r="H202" s="181" t="str">
        <f t="shared" si="32"/>
        <v>149.28</v>
      </c>
      <c r="I202" s="182" t="str">
        <f t="shared" si="33"/>
        <v>746.40</v>
      </c>
      <c r="J202" s="183" t="str">
        <f>'COMP ELE'!F252</f>
        <v>148.94</v>
      </c>
      <c r="K202" s="238"/>
    </row>
    <row r="203" ht="20.25" customHeight="1">
      <c r="A203" s="261" t="s">
        <v>442</v>
      </c>
      <c r="B203" s="175" t="s">
        <v>443</v>
      </c>
      <c r="C203" s="176" t="s">
        <v>444</v>
      </c>
      <c r="D203" s="345" t="s">
        <v>46</v>
      </c>
      <c r="E203" s="252">
        <v>72.98819999999999</v>
      </c>
      <c r="F203" s="179" t="str">
        <f t="shared" si="31"/>
        <v>4.00</v>
      </c>
      <c r="G203" s="346">
        <v>4.0</v>
      </c>
      <c r="H203" s="181" t="str">
        <f t="shared" si="32"/>
        <v>89.21</v>
      </c>
      <c r="I203" s="182" t="str">
        <f t="shared" si="33"/>
        <v>356.84</v>
      </c>
      <c r="J203" s="183" t="str">
        <f>'COMP ELE'!F388</f>
        <v>89.01</v>
      </c>
      <c r="K203" s="232"/>
    </row>
    <row r="204" ht="22.5" customHeight="1">
      <c r="A204" s="261" t="s">
        <v>445</v>
      </c>
      <c r="B204" s="175" t="s">
        <v>446</v>
      </c>
      <c r="C204" s="176" t="s">
        <v>447</v>
      </c>
      <c r="D204" s="345" t="s">
        <v>46</v>
      </c>
      <c r="E204" s="252">
        <v>3.444</v>
      </c>
      <c r="F204" s="179" t="str">
        <f t="shared" si="31"/>
        <v>62.00</v>
      </c>
      <c r="G204" s="346">
        <v>62.0</v>
      </c>
      <c r="H204" s="181" t="str">
        <f t="shared" si="32"/>
        <v>4.20</v>
      </c>
      <c r="I204" s="182" t="str">
        <f t="shared" si="33"/>
        <v>260.40</v>
      </c>
      <c r="J204" s="360" t="str">
        <f>'COMP ELE'!F201</f>
        <v>4.20</v>
      </c>
      <c r="K204" s="361"/>
    </row>
    <row r="205" ht="21.75" customHeight="1">
      <c r="A205" s="261" t="s">
        <v>448</v>
      </c>
      <c r="B205" s="175" t="s">
        <v>449</v>
      </c>
      <c r="C205" s="176" t="s">
        <v>450</v>
      </c>
      <c r="D205" s="351" t="s">
        <v>46</v>
      </c>
      <c r="E205" s="252">
        <v>3.2800000000000002</v>
      </c>
      <c r="F205" s="179" t="str">
        <f t="shared" si="31"/>
        <v>26.00</v>
      </c>
      <c r="G205" s="350">
        <v>26.0</v>
      </c>
      <c r="H205" s="181" t="str">
        <f t="shared" si="32"/>
        <v>4.00</v>
      </c>
      <c r="I205" s="182" t="str">
        <f t="shared" si="33"/>
        <v>104.00</v>
      </c>
      <c r="J205" s="183" t="str">
        <f>'COMP ELE'!F416</f>
        <v>4.00</v>
      </c>
      <c r="K205" s="232"/>
    </row>
    <row r="206" ht="33.0" customHeight="1">
      <c r="A206" s="261" t="s">
        <v>451</v>
      </c>
      <c r="B206" s="200">
        <v>95727.0</v>
      </c>
      <c r="C206" s="176" t="s">
        <v>452</v>
      </c>
      <c r="D206" s="222" t="s">
        <v>69</v>
      </c>
      <c r="E206" s="252">
        <v>9.8482</v>
      </c>
      <c r="F206" s="179" t="str">
        <f t="shared" si="31"/>
        <v>71.25</v>
      </c>
      <c r="G206" s="346" t="str">
        <f>15.9+55.35</f>
        <v>71.25</v>
      </c>
      <c r="H206" s="181" t="str">
        <f t="shared" si="32"/>
        <v>12.03</v>
      </c>
      <c r="I206" s="182" t="str">
        <f t="shared" si="33"/>
        <v>857.13</v>
      </c>
      <c r="J206" s="232"/>
      <c r="K206" s="285"/>
    </row>
    <row r="207" ht="42.0" customHeight="1">
      <c r="A207" s="261" t="s">
        <v>453</v>
      </c>
      <c r="B207" s="200">
        <v>91846.0</v>
      </c>
      <c r="C207" s="176" t="s">
        <v>454</v>
      </c>
      <c r="D207" s="222" t="s">
        <v>69</v>
      </c>
      <c r="E207" s="252">
        <v>8.036000000000001</v>
      </c>
      <c r="F207" s="179" t="str">
        <f t="shared" si="31"/>
        <v>10.00</v>
      </c>
      <c r="G207" s="346">
        <v>10.0</v>
      </c>
      <c r="H207" s="181" t="str">
        <f t="shared" si="32"/>
        <v>9.82</v>
      </c>
      <c r="I207" s="182" t="str">
        <f t="shared" si="33"/>
        <v>98.20</v>
      </c>
      <c r="J207" s="232"/>
      <c r="K207" s="232"/>
    </row>
    <row r="208" ht="51.0" customHeight="1">
      <c r="A208" s="261" t="s">
        <v>455</v>
      </c>
      <c r="B208" s="200">
        <v>91844.0</v>
      </c>
      <c r="C208" s="176" t="s">
        <v>456</v>
      </c>
      <c r="D208" s="222" t="s">
        <v>69</v>
      </c>
      <c r="E208" s="252">
        <v>5.6334</v>
      </c>
      <c r="F208" s="179" t="str">
        <f t="shared" si="31"/>
        <v>264.10</v>
      </c>
      <c r="G208" s="346">
        <v>264.1</v>
      </c>
      <c r="H208" s="181" t="str">
        <f t="shared" si="32"/>
        <v>6.88</v>
      </c>
      <c r="I208" s="182" t="str">
        <f t="shared" si="33"/>
        <v>1,817.00</v>
      </c>
      <c r="J208" s="232"/>
      <c r="K208" s="232"/>
    </row>
    <row r="209" ht="45.0" customHeight="1">
      <c r="A209" s="261" t="s">
        <v>457</v>
      </c>
      <c r="B209" s="200">
        <v>91854.0</v>
      </c>
      <c r="C209" s="176" t="s">
        <v>458</v>
      </c>
      <c r="D209" s="222" t="s">
        <v>69</v>
      </c>
      <c r="E209" s="252">
        <v>7.6014</v>
      </c>
      <c r="F209" s="179" t="str">
        <f t="shared" si="31"/>
        <v>13.25</v>
      </c>
      <c r="G209" s="346">
        <v>13.25</v>
      </c>
      <c r="H209" s="181" t="str">
        <f t="shared" si="32"/>
        <v>9.29</v>
      </c>
      <c r="I209" s="182" t="str">
        <f t="shared" si="33"/>
        <v>123.09</v>
      </c>
      <c r="J209" s="232"/>
      <c r="K209" s="232"/>
    </row>
    <row r="210" ht="47.25" customHeight="1">
      <c r="A210" s="261" t="s">
        <v>459</v>
      </c>
      <c r="B210" s="200">
        <v>97667.0</v>
      </c>
      <c r="C210" s="176" t="s">
        <v>460</v>
      </c>
      <c r="D210" s="222" t="s">
        <v>69</v>
      </c>
      <c r="E210" s="252">
        <v>7.757200000000001</v>
      </c>
      <c r="F210" s="179" t="str">
        <f t="shared" si="31"/>
        <v>19.50</v>
      </c>
      <c r="G210" s="346">
        <v>19.5</v>
      </c>
      <c r="H210" s="181" t="str">
        <f t="shared" si="32"/>
        <v>9.48</v>
      </c>
      <c r="I210" s="182" t="str">
        <f t="shared" si="33"/>
        <v>184.86</v>
      </c>
      <c r="J210" s="232"/>
      <c r="K210" s="232"/>
    </row>
    <row r="211" ht="30.75" customHeight="1">
      <c r="A211" s="261" t="s">
        <v>461</v>
      </c>
      <c r="B211" s="175" t="s">
        <v>462</v>
      </c>
      <c r="C211" s="176" t="s">
        <v>463</v>
      </c>
      <c r="D211" s="351" t="s">
        <v>46</v>
      </c>
      <c r="E211" s="252">
        <v>284.41700000000003</v>
      </c>
      <c r="F211" s="179" t="str">
        <f t="shared" si="31"/>
        <v>23.00</v>
      </c>
      <c r="G211" s="350">
        <v>23.0</v>
      </c>
      <c r="H211" s="181" t="str">
        <f t="shared" si="32"/>
        <v>347.64</v>
      </c>
      <c r="I211" s="182" t="str">
        <f t="shared" si="33"/>
        <v>7,995.72</v>
      </c>
      <c r="J211" s="183" t="str">
        <f>'COMP ELE'!F435</f>
        <v>346.85</v>
      </c>
      <c r="K211" s="362"/>
    </row>
    <row r="212" ht="30.75" customHeight="1">
      <c r="A212" s="261" t="s">
        <v>464</v>
      </c>
      <c r="B212" s="175" t="s">
        <v>465</v>
      </c>
      <c r="C212" s="176" t="s">
        <v>466</v>
      </c>
      <c r="D212" s="351" t="s">
        <v>46</v>
      </c>
      <c r="E212" s="252">
        <v>50.7908</v>
      </c>
      <c r="F212" s="179" t="str">
        <f t="shared" si="31"/>
        <v>5.00</v>
      </c>
      <c r="G212" s="363">
        <v>5.0</v>
      </c>
      <c r="H212" s="181" t="str">
        <f t="shared" si="32"/>
        <v>62.08</v>
      </c>
      <c r="I212" s="182" t="str">
        <f t="shared" si="33"/>
        <v>310.40</v>
      </c>
      <c r="J212" s="183" t="str">
        <f>'COMP ELE'!F453</f>
        <v>61.94</v>
      </c>
      <c r="K212" s="362"/>
    </row>
    <row r="213" ht="30.75" customHeight="1">
      <c r="A213" s="261" t="s">
        <v>467</v>
      </c>
      <c r="B213" s="175" t="s">
        <v>468</v>
      </c>
      <c r="C213" s="176" t="s">
        <v>469</v>
      </c>
      <c r="D213" s="351" t="s">
        <v>46</v>
      </c>
      <c r="E213" s="252">
        <v>31.151799999999994</v>
      </c>
      <c r="F213" s="179" t="str">
        <f t="shared" si="31"/>
        <v>5.00</v>
      </c>
      <c r="G213" s="363">
        <v>5.0</v>
      </c>
      <c r="H213" s="181" t="str">
        <f t="shared" si="32"/>
        <v>38.07</v>
      </c>
      <c r="I213" s="182" t="str">
        <f t="shared" si="33"/>
        <v>190.35</v>
      </c>
      <c r="J213" s="183" t="str">
        <f>'COMP ELE'!F465</f>
        <v>37.99</v>
      </c>
      <c r="K213" s="362"/>
    </row>
    <row r="214" ht="30.75" customHeight="1">
      <c r="A214" s="261" t="s">
        <v>470</v>
      </c>
      <c r="B214" s="175" t="s">
        <v>471</v>
      </c>
      <c r="C214" s="176" t="s">
        <v>472</v>
      </c>
      <c r="D214" s="351" t="s">
        <v>46</v>
      </c>
      <c r="E214" s="252">
        <v>63.9846</v>
      </c>
      <c r="F214" s="179" t="str">
        <f t="shared" si="31"/>
        <v>4.00</v>
      </c>
      <c r="G214" s="363">
        <v>4.0</v>
      </c>
      <c r="H214" s="181" t="str">
        <f t="shared" si="32"/>
        <v>78.20</v>
      </c>
      <c r="I214" s="182" t="str">
        <f t="shared" si="33"/>
        <v>312.80</v>
      </c>
      <c r="J214" s="183" t="str">
        <f>'COMP ELE'!F478</f>
        <v>78.03</v>
      </c>
      <c r="K214" s="362"/>
    </row>
    <row r="215" ht="20.25" customHeight="1">
      <c r="A215" s="261" t="s">
        <v>473</v>
      </c>
      <c r="B215" s="175" t="s">
        <v>474</v>
      </c>
      <c r="C215" s="176" t="s">
        <v>475</v>
      </c>
      <c r="D215" s="351" t="s">
        <v>46</v>
      </c>
      <c r="E215" s="252">
        <v>5.7072</v>
      </c>
      <c r="F215" s="179" t="str">
        <f t="shared" si="31"/>
        <v>5.00</v>
      </c>
      <c r="G215" s="364">
        <v>5.0</v>
      </c>
      <c r="H215" s="181" t="str">
        <f t="shared" si="32"/>
        <v>6.97</v>
      </c>
      <c r="I215" s="182" t="str">
        <f t="shared" si="33"/>
        <v>34.85</v>
      </c>
      <c r="J215" s="183" t="str">
        <f>'COMP ELE'!F495</f>
        <v>6.96</v>
      </c>
      <c r="K215" s="362"/>
    </row>
    <row r="216" ht="31.5" customHeight="1">
      <c r="A216" s="261" t="s">
        <v>476</v>
      </c>
      <c r="B216" s="325">
        <v>90447.0</v>
      </c>
      <c r="C216" s="176" t="s">
        <v>477</v>
      </c>
      <c r="D216" s="222" t="s">
        <v>69</v>
      </c>
      <c r="E216" s="252">
        <v>5.1004</v>
      </c>
      <c r="F216" s="179" t="str">
        <f t="shared" si="31"/>
        <v>13.25</v>
      </c>
      <c r="G216" s="364">
        <v>13.25</v>
      </c>
      <c r="H216" s="181" t="str">
        <f t="shared" si="32"/>
        <v>6.23</v>
      </c>
      <c r="I216" s="182" t="str">
        <f t="shared" si="33"/>
        <v>82.54</v>
      </c>
      <c r="J216" s="183"/>
      <c r="K216" s="362"/>
    </row>
    <row r="217" ht="14.25" customHeight="1">
      <c r="A217" s="185"/>
      <c r="B217" s="365"/>
      <c r="C217" s="366"/>
      <c r="D217" s="188"/>
      <c r="E217" s="252"/>
      <c r="F217" s="190"/>
      <c r="G217" s="191"/>
      <c r="H217" s="192" t="s">
        <v>47</v>
      </c>
      <c r="I217" s="193" t="str">
        <f>TRUNC(SUM(I167:I216),2)</f>
        <v>31,127.07</v>
      </c>
      <c r="K217" s="232"/>
    </row>
    <row r="218" ht="13.5" customHeight="1">
      <c r="A218" s="338" t="s">
        <v>478</v>
      </c>
      <c r="B218" s="339"/>
      <c r="C218" s="340" t="s">
        <v>479</v>
      </c>
      <c r="D218" s="339"/>
      <c r="E218" s="341"/>
      <c r="F218" s="342" t="str">
        <f t="shared" ref="F218:F246" si="34">IF(OR(E218&lt;=0)," ",TRUNC(G218,2))</f>
        <v> </v>
      </c>
      <c r="G218" s="343"/>
      <c r="H218" s="343" t="str">
        <f t="shared" ref="H218:H246" si="35">IF(OR(E218&lt;=0)," ",TRUNC((E218*(1+$I$9)),2))</f>
        <v> </v>
      </c>
      <c r="I218" s="344" t="str">
        <f t="shared" ref="I218:I246" si="36">IF(OR(E218&lt;=0)," ",TRUNC((H218*F218),2))</f>
        <v> </v>
      </c>
      <c r="J218" s="173"/>
      <c r="K218" s="232"/>
    </row>
    <row r="219" ht="19.5" customHeight="1">
      <c r="A219" s="261" t="s">
        <v>480</v>
      </c>
      <c r="B219" s="347" t="s">
        <v>481</v>
      </c>
      <c r="C219" s="367" t="s">
        <v>482</v>
      </c>
      <c r="D219" s="200" t="s">
        <v>46</v>
      </c>
      <c r="E219" s="252">
        <v>28.888600000000004</v>
      </c>
      <c r="F219" s="179" t="str">
        <f t="shared" si="34"/>
        <v>8.00</v>
      </c>
      <c r="G219" s="253">
        <v>8.0</v>
      </c>
      <c r="H219" s="181" t="str">
        <f t="shared" si="35"/>
        <v>35.31</v>
      </c>
      <c r="I219" s="182" t="str">
        <f t="shared" si="36"/>
        <v>282.48</v>
      </c>
      <c r="J219" s="336" t="str">
        <f>'COMP ELE'!F24</f>
        <v>35.23</v>
      </c>
      <c r="K219" s="232"/>
    </row>
    <row r="220" ht="30.0" customHeight="1">
      <c r="A220" s="261" t="s">
        <v>483</v>
      </c>
      <c r="B220" s="236">
        <v>98302.0</v>
      </c>
      <c r="C220" s="176" t="s">
        <v>484</v>
      </c>
      <c r="D220" s="200" t="s">
        <v>46</v>
      </c>
      <c r="E220" s="252">
        <v>831.0782</v>
      </c>
      <c r="F220" s="179" t="str">
        <f t="shared" si="34"/>
        <v>3.00</v>
      </c>
      <c r="G220" s="253">
        <v>3.0</v>
      </c>
      <c r="H220" s="181" t="str">
        <f t="shared" si="35"/>
        <v>1,015.82</v>
      </c>
      <c r="I220" s="182" t="str">
        <f t="shared" si="36"/>
        <v>3,047.46</v>
      </c>
      <c r="J220" s="348"/>
      <c r="K220" s="353"/>
    </row>
    <row r="221" ht="21.0" customHeight="1">
      <c r="A221" s="261" t="s">
        <v>485</v>
      </c>
      <c r="B221" s="347" t="s">
        <v>486</v>
      </c>
      <c r="C221" s="176" t="s">
        <v>487</v>
      </c>
      <c r="D221" s="200" t="s">
        <v>46</v>
      </c>
      <c r="E221" s="252">
        <v>47.5026</v>
      </c>
      <c r="F221" s="179" t="str">
        <f t="shared" si="34"/>
        <v>1.00</v>
      </c>
      <c r="G221" s="253">
        <v>1.0</v>
      </c>
      <c r="H221" s="181" t="str">
        <f t="shared" si="35"/>
        <v>58.06</v>
      </c>
      <c r="I221" s="182" t="str">
        <f t="shared" si="36"/>
        <v>58.06</v>
      </c>
      <c r="J221" s="368" t="str">
        <f>'COMP ELE'!F67</f>
        <v>57.93</v>
      </c>
      <c r="K221" s="353"/>
    </row>
    <row r="222" ht="21.0" customHeight="1">
      <c r="A222" s="261" t="s">
        <v>488</v>
      </c>
      <c r="B222" s="175" t="s">
        <v>489</v>
      </c>
      <c r="C222" s="176" t="s">
        <v>490</v>
      </c>
      <c r="D222" s="200" t="s">
        <v>46</v>
      </c>
      <c r="E222" s="252">
        <v>134.16019999999997</v>
      </c>
      <c r="F222" s="179" t="str">
        <f t="shared" si="34"/>
        <v>1.00</v>
      </c>
      <c r="G222" s="253">
        <v>1.0</v>
      </c>
      <c r="H222" s="181" t="str">
        <f t="shared" si="35"/>
        <v>163.98</v>
      </c>
      <c r="I222" s="182" t="str">
        <f t="shared" si="36"/>
        <v>163.98</v>
      </c>
      <c r="J222" s="368" t="str">
        <f>'COMP ELE'!F51</f>
        <v>163.61</v>
      </c>
      <c r="K222" s="353"/>
    </row>
    <row r="223" ht="21.0" customHeight="1">
      <c r="A223" s="369" t="s">
        <v>491</v>
      </c>
      <c r="B223" s="370" t="s">
        <v>492</v>
      </c>
      <c r="C223" s="357" t="s">
        <v>493</v>
      </c>
      <c r="D223" s="356" t="s">
        <v>46</v>
      </c>
      <c r="E223" s="252">
        <v>40.352199999999996</v>
      </c>
      <c r="F223" s="227" t="str">
        <f t="shared" si="34"/>
        <v>3.00</v>
      </c>
      <c r="G223" s="371">
        <v>3.0</v>
      </c>
      <c r="H223" s="229" t="str">
        <f t="shared" si="35"/>
        <v>49.32</v>
      </c>
      <c r="I223" s="230" t="str">
        <f t="shared" si="36"/>
        <v>147.96</v>
      </c>
      <c r="J223" s="368" t="str">
        <f>'COMP ELE'!F35</f>
        <v>49.21</v>
      </c>
      <c r="K223" s="353"/>
    </row>
    <row r="224" ht="17.25" customHeight="1">
      <c r="A224" s="261" t="s">
        <v>494</v>
      </c>
      <c r="B224" s="347" t="s">
        <v>495</v>
      </c>
      <c r="C224" s="176" t="s">
        <v>496</v>
      </c>
      <c r="D224" s="200" t="s">
        <v>46</v>
      </c>
      <c r="E224" s="252">
        <v>1763.697</v>
      </c>
      <c r="F224" s="179" t="str">
        <f t="shared" si="34"/>
        <v>1.00</v>
      </c>
      <c r="G224" s="253">
        <v>1.0</v>
      </c>
      <c r="H224" s="181" t="str">
        <f t="shared" si="35"/>
        <v>2,155.76</v>
      </c>
      <c r="I224" s="182" t="str">
        <f t="shared" si="36"/>
        <v>2,155.76</v>
      </c>
      <c r="J224" s="368" t="str">
        <f>'COMP ELE'!F84</f>
        <v>2,150.85</v>
      </c>
      <c r="K224" s="372"/>
    </row>
    <row r="225" ht="32.25" customHeight="1">
      <c r="A225" s="261" t="s">
        <v>497</v>
      </c>
      <c r="B225" s="347" t="s">
        <v>498</v>
      </c>
      <c r="C225" s="176" t="s">
        <v>499</v>
      </c>
      <c r="D225" s="200" t="s">
        <v>46</v>
      </c>
      <c r="E225" s="252">
        <v>146.2634</v>
      </c>
      <c r="F225" s="179" t="str">
        <f t="shared" si="34"/>
        <v>1.00</v>
      </c>
      <c r="G225" s="253">
        <v>1.0</v>
      </c>
      <c r="H225" s="181" t="str">
        <f t="shared" si="35"/>
        <v>178.77</v>
      </c>
      <c r="I225" s="182" t="str">
        <f t="shared" si="36"/>
        <v>178.77</v>
      </c>
      <c r="J225" s="368" t="str">
        <f>'COMP ELE'!F155</f>
        <v>178.37</v>
      </c>
      <c r="K225" s="372"/>
      <c r="L225" s="372"/>
    </row>
    <row r="226" ht="34.5" customHeight="1">
      <c r="A226" s="261" t="s">
        <v>500</v>
      </c>
      <c r="B226" s="236">
        <v>91941.0</v>
      </c>
      <c r="C226" s="176" t="s">
        <v>431</v>
      </c>
      <c r="D226" s="200" t="s">
        <v>46</v>
      </c>
      <c r="E226" s="252">
        <v>8.101600000000001</v>
      </c>
      <c r="F226" s="179" t="str">
        <f t="shared" si="34"/>
        <v>5.00</v>
      </c>
      <c r="G226" s="253">
        <v>5.0</v>
      </c>
      <c r="H226" s="181" t="str">
        <f t="shared" si="35"/>
        <v>9.90</v>
      </c>
      <c r="I226" s="182" t="str">
        <f t="shared" si="36"/>
        <v>49.50</v>
      </c>
      <c r="J226" s="348"/>
      <c r="K226" s="353"/>
    </row>
    <row r="227" ht="34.5" customHeight="1">
      <c r="A227" s="369" t="s">
        <v>501</v>
      </c>
      <c r="B227" s="200">
        <v>91939.0</v>
      </c>
      <c r="C227" s="221" t="s">
        <v>435</v>
      </c>
      <c r="D227" s="200" t="s">
        <v>46</v>
      </c>
      <c r="E227" s="252">
        <v>22.369600000000002</v>
      </c>
      <c r="F227" s="179" t="str">
        <f t="shared" si="34"/>
        <v>1.00</v>
      </c>
      <c r="G227" s="253">
        <v>1.0</v>
      </c>
      <c r="H227" s="181" t="str">
        <f t="shared" si="35"/>
        <v>27.34</v>
      </c>
      <c r="I227" s="182" t="str">
        <f t="shared" si="36"/>
        <v>27.34</v>
      </c>
      <c r="J227" s="348"/>
      <c r="K227" s="353"/>
    </row>
    <row r="228" ht="30.75" customHeight="1">
      <c r="A228" s="261" t="s">
        <v>502</v>
      </c>
      <c r="B228" s="175" t="s">
        <v>503</v>
      </c>
      <c r="C228" s="176" t="s">
        <v>504</v>
      </c>
      <c r="D228" s="200" t="s">
        <v>46</v>
      </c>
      <c r="E228" s="252">
        <v>217.1196</v>
      </c>
      <c r="F228" s="179" t="str">
        <f t="shared" si="34"/>
        <v>1.00</v>
      </c>
      <c r="G228" s="253">
        <v>1.0</v>
      </c>
      <c r="H228" s="181" t="str">
        <f t="shared" si="35"/>
        <v>265.38</v>
      </c>
      <c r="I228" s="182" t="str">
        <f t="shared" si="36"/>
        <v>265.38</v>
      </c>
      <c r="J228" s="183" t="str">
        <f>'COMP ELE'!F230</f>
        <v>264.78</v>
      </c>
      <c r="K228" s="238"/>
    </row>
    <row r="229" ht="30.0" customHeight="1">
      <c r="A229" s="261" t="s">
        <v>505</v>
      </c>
      <c r="B229" s="347" t="s">
        <v>506</v>
      </c>
      <c r="C229" s="176" t="s">
        <v>507</v>
      </c>
      <c r="D229" s="200" t="s">
        <v>46</v>
      </c>
      <c r="E229" s="252">
        <v>47.674800000000005</v>
      </c>
      <c r="F229" s="179" t="str">
        <f t="shared" si="34"/>
        <v>1.00</v>
      </c>
      <c r="G229" s="253">
        <v>1.0</v>
      </c>
      <c r="H229" s="181" t="str">
        <f t="shared" si="35"/>
        <v>58.27</v>
      </c>
      <c r="I229" s="182" t="str">
        <f t="shared" si="36"/>
        <v>58.27</v>
      </c>
      <c r="J229" s="183" t="str">
        <f>'COMP ELE'!F241</f>
        <v>58.14</v>
      </c>
      <c r="K229" s="232"/>
    </row>
    <row r="230" ht="33.0" customHeight="1">
      <c r="A230" s="261" t="s">
        <v>508</v>
      </c>
      <c r="B230" s="347" t="s">
        <v>440</v>
      </c>
      <c r="C230" s="176" t="s">
        <v>509</v>
      </c>
      <c r="D230" s="200" t="s">
        <v>46</v>
      </c>
      <c r="E230" s="252">
        <v>122.1308</v>
      </c>
      <c r="F230" s="179" t="str">
        <f t="shared" si="34"/>
        <v>2.00</v>
      </c>
      <c r="G230" s="253">
        <v>2.0</v>
      </c>
      <c r="H230" s="181" t="str">
        <f t="shared" si="35"/>
        <v>149.28</v>
      </c>
      <c r="I230" s="182" t="str">
        <f t="shared" si="36"/>
        <v>298.56</v>
      </c>
      <c r="J230" s="183" t="str">
        <f>'COMP ELE'!F252</f>
        <v>148.94</v>
      </c>
      <c r="K230" s="232"/>
    </row>
    <row r="231" ht="31.5" customHeight="1">
      <c r="A231" s="261" t="s">
        <v>510</v>
      </c>
      <c r="B231" s="200">
        <v>98295.0</v>
      </c>
      <c r="C231" s="176" t="s">
        <v>511</v>
      </c>
      <c r="D231" s="351" t="s">
        <v>69</v>
      </c>
      <c r="E231" s="252">
        <v>4.1491999999999996</v>
      </c>
      <c r="F231" s="179" t="str">
        <f t="shared" si="34"/>
        <v>570.70</v>
      </c>
      <c r="G231" s="253">
        <v>570.7</v>
      </c>
      <c r="H231" s="181" t="str">
        <f t="shared" si="35"/>
        <v>5.07</v>
      </c>
      <c r="I231" s="182" t="str">
        <f t="shared" si="36"/>
        <v>2,893.44</v>
      </c>
      <c r="J231" s="183"/>
      <c r="K231" s="312" t="s">
        <v>512</v>
      </c>
    </row>
    <row r="232" ht="18.75" customHeight="1">
      <c r="A232" s="261" t="s">
        <v>513</v>
      </c>
      <c r="B232" s="175" t="s">
        <v>514</v>
      </c>
      <c r="C232" s="176" t="s">
        <v>515</v>
      </c>
      <c r="D232" s="351" t="s">
        <v>69</v>
      </c>
      <c r="E232" s="252">
        <v>8.3312</v>
      </c>
      <c r="F232" s="179" t="str">
        <f t="shared" si="34"/>
        <v>84.00</v>
      </c>
      <c r="G232" s="253">
        <v>84.0</v>
      </c>
      <c r="H232" s="181" t="str">
        <f t="shared" si="35"/>
        <v>10.18</v>
      </c>
      <c r="I232" s="182" t="str">
        <f t="shared" si="36"/>
        <v>855.12</v>
      </c>
      <c r="J232" s="183" t="str">
        <f>'COMP ELE'!F524</f>
        <v>10.16</v>
      </c>
      <c r="K232" s="373" t="s">
        <v>516</v>
      </c>
    </row>
    <row r="233" ht="21.0" customHeight="1">
      <c r="A233" s="261" t="s">
        <v>517</v>
      </c>
      <c r="B233" s="347" t="s">
        <v>518</v>
      </c>
      <c r="C233" s="176" t="s">
        <v>519</v>
      </c>
      <c r="D233" s="200" t="s">
        <v>46</v>
      </c>
      <c r="E233" s="252">
        <v>195.1026</v>
      </c>
      <c r="F233" s="179" t="str">
        <f t="shared" si="34"/>
        <v>3.00</v>
      </c>
      <c r="G233" s="253">
        <v>3.0</v>
      </c>
      <c r="H233" s="181" t="str">
        <f t="shared" si="35"/>
        <v>238.47</v>
      </c>
      <c r="I233" s="182" t="str">
        <f t="shared" si="36"/>
        <v>715.41</v>
      </c>
      <c r="J233" s="183" t="str">
        <f>'COMP ELE'!F184</f>
        <v>237.93</v>
      </c>
      <c r="K233" s="232"/>
    </row>
    <row r="234" ht="22.5" customHeight="1">
      <c r="A234" s="261" t="s">
        <v>520</v>
      </c>
      <c r="B234" s="347" t="s">
        <v>521</v>
      </c>
      <c r="C234" s="176" t="s">
        <v>522</v>
      </c>
      <c r="D234" s="374" t="s">
        <v>46</v>
      </c>
      <c r="E234" s="252">
        <v>8.782200000000001</v>
      </c>
      <c r="F234" s="179" t="str">
        <f t="shared" si="34"/>
        <v>59.00</v>
      </c>
      <c r="G234" s="253">
        <v>59.0</v>
      </c>
      <c r="H234" s="181" t="str">
        <f t="shared" si="35"/>
        <v>10.73</v>
      </c>
      <c r="I234" s="182" t="str">
        <f t="shared" si="36"/>
        <v>633.07</v>
      </c>
      <c r="J234" s="183" t="str">
        <f>'COMP ELE'!F263</f>
        <v>10.71</v>
      </c>
      <c r="K234" s="232"/>
    </row>
    <row r="235" ht="17.25" customHeight="1">
      <c r="A235" s="369" t="s">
        <v>523</v>
      </c>
      <c r="B235" s="347" t="s">
        <v>524</v>
      </c>
      <c r="C235" s="176" t="s">
        <v>525</v>
      </c>
      <c r="D235" s="200" t="s">
        <v>46</v>
      </c>
      <c r="E235" s="252">
        <v>4991.75</v>
      </c>
      <c r="F235" s="179" t="str">
        <f t="shared" si="34"/>
        <v>1.00</v>
      </c>
      <c r="G235" s="253">
        <v>1.0</v>
      </c>
      <c r="H235" s="181" t="str">
        <f t="shared" si="35"/>
        <v>6,101.41</v>
      </c>
      <c r="I235" s="182" t="str">
        <f t="shared" si="36"/>
        <v>6,101.41</v>
      </c>
      <c r="J235" s="183" t="str">
        <f>'COMP ELE'!F507</f>
        <v>6087.50</v>
      </c>
      <c r="K235" s="232"/>
    </row>
    <row r="236" ht="21.0" customHeight="1">
      <c r="A236" s="261" t="s">
        <v>526</v>
      </c>
      <c r="B236" s="236">
        <v>98307.0</v>
      </c>
      <c r="C236" s="375" t="s">
        <v>527</v>
      </c>
      <c r="D236" s="200" t="s">
        <v>46</v>
      </c>
      <c r="E236" s="252">
        <v>34.6532</v>
      </c>
      <c r="F236" s="179" t="str">
        <f t="shared" si="34"/>
        <v>22.00</v>
      </c>
      <c r="G236" s="253">
        <v>22.0</v>
      </c>
      <c r="H236" s="181" t="str">
        <f t="shared" si="35"/>
        <v>42.35</v>
      </c>
      <c r="I236" s="182" t="str">
        <f t="shared" si="36"/>
        <v>931.70</v>
      </c>
      <c r="J236" s="183"/>
      <c r="K236" s="376"/>
    </row>
    <row r="237" ht="46.5" customHeight="1">
      <c r="A237" s="261" t="s">
        <v>528</v>
      </c>
      <c r="B237" s="236">
        <v>95781.0</v>
      </c>
      <c r="C237" s="176" t="s">
        <v>529</v>
      </c>
      <c r="D237" s="200" t="s">
        <v>46</v>
      </c>
      <c r="E237" s="252">
        <v>25.994</v>
      </c>
      <c r="F237" s="179" t="str">
        <f t="shared" si="34"/>
        <v>22.00</v>
      </c>
      <c r="G237" s="253">
        <v>22.0</v>
      </c>
      <c r="H237" s="181" t="str">
        <f t="shared" si="35"/>
        <v>31.77</v>
      </c>
      <c r="I237" s="182" t="str">
        <f t="shared" si="36"/>
        <v>698.94</v>
      </c>
      <c r="J237" s="183"/>
      <c r="K237" s="232"/>
    </row>
    <row r="238" ht="21.75" customHeight="1">
      <c r="A238" s="261" t="s">
        <v>530</v>
      </c>
      <c r="B238" s="347" t="s">
        <v>531</v>
      </c>
      <c r="C238" s="176" t="s">
        <v>532</v>
      </c>
      <c r="D238" s="200" t="s">
        <v>46</v>
      </c>
      <c r="E238" s="252">
        <v>42.1316</v>
      </c>
      <c r="F238" s="179" t="str">
        <f t="shared" si="34"/>
        <v>2.00</v>
      </c>
      <c r="G238" s="253">
        <v>2.0</v>
      </c>
      <c r="H238" s="181" t="str">
        <f t="shared" si="35"/>
        <v>51.49</v>
      </c>
      <c r="I238" s="182" t="str">
        <f t="shared" si="36"/>
        <v>102.98</v>
      </c>
      <c r="J238" s="368" t="str">
        <f>'COMP ELE'!F101</f>
        <v>51.38</v>
      </c>
      <c r="K238" s="232"/>
    </row>
    <row r="239" ht="18.75" customHeight="1">
      <c r="A239" s="369" t="s">
        <v>533</v>
      </c>
      <c r="B239" s="347" t="s">
        <v>534</v>
      </c>
      <c r="C239" s="176" t="s">
        <v>535</v>
      </c>
      <c r="D239" s="200" t="s">
        <v>46</v>
      </c>
      <c r="E239" s="252">
        <v>45.034400000000005</v>
      </c>
      <c r="F239" s="179" t="str">
        <f t="shared" si="34"/>
        <v>3.00</v>
      </c>
      <c r="G239" s="253">
        <v>3.0</v>
      </c>
      <c r="H239" s="181" t="str">
        <f t="shared" si="35"/>
        <v>55.04</v>
      </c>
      <c r="I239" s="182" t="str">
        <f t="shared" si="36"/>
        <v>165.12</v>
      </c>
      <c r="J239" s="368" t="str">
        <f>'COMP ELE'!F118</f>
        <v>54.92</v>
      </c>
      <c r="K239" s="232"/>
    </row>
    <row r="240" ht="42.0" customHeight="1">
      <c r="A240" s="261" t="s">
        <v>536</v>
      </c>
      <c r="B240" s="236">
        <v>91846.0</v>
      </c>
      <c r="C240" s="176" t="s">
        <v>454</v>
      </c>
      <c r="D240" s="377" t="s">
        <v>69</v>
      </c>
      <c r="E240" s="252">
        <v>8.036000000000001</v>
      </c>
      <c r="F240" s="179" t="str">
        <f t="shared" si="34"/>
        <v>40.40</v>
      </c>
      <c r="G240" s="253">
        <v>40.4</v>
      </c>
      <c r="H240" s="181" t="str">
        <f t="shared" si="35"/>
        <v>9.82</v>
      </c>
      <c r="I240" s="182" t="str">
        <f t="shared" si="36"/>
        <v>396.72</v>
      </c>
      <c r="J240" s="354"/>
      <c r="K240" s="263"/>
    </row>
    <row r="241" ht="43.5" customHeight="1">
      <c r="A241" s="261" t="s">
        <v>537</v>
      </c>
      <c r="B241" s="200">
        <v>91844.0</v>
      </c>
      <c r="C241" s="176" t="s">
        <v>456</v>
      </c>
      <c r="D241" s="378" t="s">
        <v>69</v>
      </c>
      <c r="E241" s="252">
        <v>5.6334</v>
      </c>
      <c r="F241" s="179" t="str">
        <f t="shared" si="34"/>
        <v>66.10</v>
      </c>
      <c r="G241" s="253">
        <v>66.1</v>
      </c>
      <c r="H241" s="181" t="str">
        <f t="shared" si="35"/>
        <v>6.88</v>
      </c>
      <c r="I241" s="182" t="str">
        <f t="shared" si="36"/>
        <v>454.76</v>
      </c>
      <c r="J241" s="354"/>
      <c r="K241" s="263"/>
    </row>
    <row r="242" ht="47.25" customHeight="1">
      <c r="A242" s="261" t="s">
        <v>538</v>
      </c>
      <c r="B242" s="236">
        <v>91863.0</v>
      </c>
      <c r="C242" s="221" t="s">
        <v>539</v>
      </c>
      <c r="D242" s="378" t="s">
        <v>69</v>
      </c>
      <c r="E242" s="252">
        <v>9.9138</v>
      </c>
      <c r="F242" s="179" t="str">
        <f t="shared" si="34"/>
        <v>22.30</v>
      </c>
      <c r="G242" s="253">
        <v>22.3</v>
      </c>
      <c r="H242" s="181" t="str">
        <f t="shared" si="35"/>
        <v>12.11</v>
      </c>
      <c r="I242" s="182" t="str">
        <f t="shared" si="36"/>
        <v>270.05</v>
      </c>
      <c r="J242" s="354"/>
      <c r="K242" s="379"/>
    </row>
    <row r="243" ht="44.25" customHeight="1">
      <c r="A243" s="369" t="s">
        <v>540</v>
      </c>
      <c r="B243" s="236">
        <v>91841.0</v>
      </c>
      <c r="C243" s="176" t="s">
        <v>541</v>
      </c>
      <c r="D243" s="378" t="s">
        <v>69</v>
      </c>
      <c r="E243" s="252">
        <v>10.8978</v>
      </c>
      <c r="F243" s="179" t="str">
        <f t="shared" si="34"/>
        <v>15.50</v>
      </c>
      <c r="G243" s="253">
        <v>15.5</v>
      </c>
      <c r="H243" s="181" t="str">
        <f t="shared" si="35"/>
        <v>13.32</v>
      </c>
      <c r="I243" s="182" t="str">
        <f t="shared" si="36"/>
        <v>206.46</v>
      </c>
      <c r="J243" s="354"/>
      <c r="K243" s="263"/>
    </row>
    <row r="244" ht="21.0" customHeight="1">
      <c r="A244" s="261" t="s">
        <v>542</v>
      </c>
      <c r="B244" s="175" t="s">
        <v>446</v>
      </c>
      <c r="C244" s="176" t="s">
        <v>447</v>
      </c>
      <c r="D244" s="345" t="s">
        <v>46</v>
      </c>
      <c r="E244" s="252">
        <v>3.444</v>
      </c>
      <c r="F244" s="179" t="str">
        <f t="shared" si="34"/>
        <v>31.00</v>
      </c>
      <c r="G244" s="253">
        <v>31.0</v>
      </c>
      <c r="H244" s="181" t="str">
        <f t="shared" si="35"/>
        <v>4.20</v>
      </c>
      <c r="I244" s="182" t="str">
        <f t="shared" si="36"/>
        <v>130.20</v>
      </c>
      <c r="J244" s="183" t="str">
        <f>'COMP ELE'!F201</f>
        <v>4.20</v>
      </c>
      <c r="K244" s="263"/>
    </row>
    <row r="245" ht="31.5" customHeight="1">
      <c r="A245" s="261" t="s">
        <v>543</v>
      </c>
      <c r="B245" s="347" t="s">
        <v>544</v>
      </c>
      <c r="C245" s="176" t="s">
        <v>545</v>
      </c>
      <c r="D245" s="345" t="s">
        <v>46</v>
      </c>
      <c r="E245" s="252">
        <v>3.8048000000000006</v>
      </c>
      <c r="F245" s="179" t="str">
        <f t="shared" si="34"/>
        <v>31.00</v>
      </c>
      <c r="G245" s="253">
        <v>31.0</v>
      </c>
      <c r="H245" s="181" t="str">
        <f t="shared" si="35"/>
        <v>4.65</v>
      </c>
      <c r="I245" s="182" t="str">
        <f t="shared" si="36"/>
        <v>144.15</v>
      </c>
      <c r="J245" s="183" t="str">
        <f>'COMP ELE'!F211</f>
        <v>4.64</v>
      </c>
      <c r="K245" s="263"/>
    </row>
    <row r="246" ht="21.75" customHeight="1">
      <c r="A246" s="261" t="s">
        <v>546</v>
      </c>
      <c r="B246" s="347" t="s">
        <v>547</v>
      </c>
      <c r="C246" s="176" t="s">
        <v>548</v>
      </c>
      <c r="D246" s="200" t="s">
        <v>46</v>
      </c>
      <c r="E246" s="252">
        <v>885.4605999999999</v>
      </c>
      <c r="F246" s="179" t="str">
        <f t="shared" si="34"/>
        <v>1.00</v>
      </c>
      <c r="G246" s="253">
        <v>1.0</v>
      </c>
      <c r="H246" s="181" t="str">
        <f t="shared" si="35"/>
        <v>1,082.29</v>
      </c>
      <c r="I246" s="182" t="str">
        <f t="shared" si="36"/>
        <v>1,082.29</v>
      </c>
      <c r="J246" s="183" t="str">
        <f>'COMP ELE'!F135</f>
        <v>1079.83</v>
      </c>
      <c r="K246" s="263" t="s">
        <v>549</v>
      </c>
    </row>
    <row r="247" ht="14.25" customHeight="1">
      <c r="A247" s="185"/>
      <c r="B247" s="188"/>
      <c r="C247" s="188"/>
      <c r="D247" s="188"/>
      <c r="E247" s="252"/>
      <c r="F247" s="188"/>
      <c r="G247" s="380"/>
      <c r="H247" s="192" t="s">
        <v>47</v>
      </c>
      <c r="I247" s="193" t="str">
        <f>TRUNC(SUM(I219:I246),2)</f>
        <v>22,515.34</v>
      </c>
      <c r="K247" s="232"/>
    </row>
    <row r="248" ht="14.25" customHeight="1">
      <c r="A248" s="166">
        <v>12.0</v>
      </c>
      <c r="B248" s="167"/>
      <c r="C248" s="168" t="s">
        <v>550</v>
      </c>
      <c r="D248" s="169"/>
      <c r="E248" s="381"/>
      <c r="F248" s="169" t="str">
        <f t="shared" ref="F248:F255" si="37">IF(OR(E248&lt;=0)," ",TRUNC(G248,2))</f>
        <v> </v>
      </c>
      <c r="G248" s="171"/>
      <c r="H248" s="171" t="str">
        <f t="shared" ref="H248:H255" si="38">IF(OR(E248&lt;=0)," ",TRUNC((E248*(1+$I$9)),2))</f>
        <v> </v>
      </c>
      <c r="I248" s="172" t="str">
        <f t="shared" ref="I248:I255" si="39">IF(OR(E248&lt;=0)," ",TRUNC((H248*F248),2))</f>
        <v> </v>
      </c>
      <c r="J248" s="173"/>
      <c r="K248" s="232"/>
    </row>
    <row r="249" ht="19.5" customHeight="1">
      <c r="A249" s="261" t="s">
        <v>551</v>
      </c>
      <c r="B249" s="329" t="s">
        <v>552</v>
      </c>
      <c r="C249" s="176" t="s">
        <v>553</v>
      </c>
      <c r="D249" s="374" t="s">
        <v>46</v>
      </c>
      <c r="E249" s="252">
        <v>388.6472</v>
      </c>
      <c r="F249" s="179" t="str">
        <f t="shared" si="37"/>
        <v>1.00</v>
      </c>
      <c r="G249" s="253">
        <v>1.0</v>
      </c>
      <c r="H249" s="181" t="str">
        <f t="shared" si="38"/>
        <v>475.04</v>
      </c>
      <c r="I249" s="182" t="str">
        <f t="shared" si="39"/>
        <v>475.04</v>
      </c>
      <c r="J249" s="368" t="str">
        <f>'COMP ELE'!F280</f>
        <v>473.96</v>
      </c>
      <c r="K249" s="232"/>
    </row>
    <row r="250" ht="14.25" customHeight="1">
      <c r="A250" s="261" t="s">
        <v>554</v>
      </c>
      <c r="B250" s="200">
        <v>98111.0</v>
      </c>
      <c r="C250" s="176" t="s">
        <v>555</v>
      </c>
      <c r="D250" s="200" t="s">
        <v>46</v>
      </c>
      <c r="E250" s="252">
        <v>47.215599999999995</v>
      </c>
      <c r="F250" s="179" t="str">
        <f t="shared" si="37"/>
        <v>6.00</v>
      </c>
      <c r="G250" s="253">
        <v>6.0</v>
      </c>
      <c r="H250" s="181" t="str">
        <f t="shared" si="38"/>
        <v>57.71</v>
      </c>
      <c r="I250" s="182" t="str">
        <f t="shared" si="39"/>
        <v>346.26</v>
      </c>
      <c r="K250" s="232"/>
    </row>
    <row r="251" ht="34.5" customHeight="1">
      <c r="A251" s="261" t="s">
        <v>556</v>
      </c>
      <c r="B251" s="200">
        <v>96986.0</v>
      </c>
      <c r="C251" s="176" t="s">
        <v>557</v>
      </c>
      <c r="D251" s="200" t="s">
        <v>46</v>
      </c>
      <c r="E251" s="252">
        <v>93.4554</v>
      </c>
      <c r="F251" s="179" t="str">
        <f t="shared" si="37"/>
        <v>32.00</v>
      </c>
      <c r="G251" s="253">
        <v>32.0</v>
      </c>
      <c r="H251" s="181" t="str">
        <f t="shared" si="38"/>
        <v>114.23</v>
      </c>
      <c r="I251" s="182" t="str">
        <f t="shared" si="39"/>
        <v>3,655.36</v>
      </c>
      <c r="K251" s="285"/>
    </row>
    <row r="252" ht="14.25" customHeight="1">
      <c r="A252" s="279" t="s">
        <v>558</v>
      </c>
      <c r="B252" s="200">
        <v>96972.0</v>
      </c>
      <c r="C252" s="176" t="s">
        <v>559</v>
      </c>
      <c r="D252" s="251" t="s">
        <v>69</v>
      </c>
      <c r="E252" s="252">
        <v>37.6216</v>
      </c>
      <c r="F252" s="179" t="str">
        <f t="shared" si="37"/>
        <v>7.74</v>
      </c>
      <c r="G252" s="253">
        <v>7.74</v>
      </c>
      <c r="H252" s="181" t="str">
        <f t="shared" si="38"/>
        <v>45.98</v>
      </c>
      <c r="I252" s="182" t="str">
        <f t="shared" si="39"/>
        <v>355.88</v>
      </c>
      <c r="K252" s="232"/>
    </row>
    <row r="253" ht="14.25" customHeight="1">
      <c r="A253" s="261" t="s">
        <v>560</v>
      </c>
      <c r="B253" s="200">
        <v>96973.0</v>
      </c>
      <c r="C253" s="176" t="s">
        <v>561</v>
      </c>
      <c r="D253" s="251" t="s">
        <v>69</v>
      </c>
      <c r="E253" s="252">
        <v>50.019999999999996</v>
      </c>
      <c r="F253" s="179" t="str">
        <f t="shared" si="37"/>
        <v>135.54</v>
      </c>
      <c r="G253" s="253">
        <v>135.54</v>
      </c>
      <c r="H253" s="181" t="str">
        <f t="shared" si="38"/>
        <v>61.13</v>
      </c>
      <c r="I253" s="182" t="str">
        <f t="shared" si="39"/>
        <v>8,285.56</v>
      </c>
      <c r="K253" s="232"/>
    </row>
    <row r="254" ht="14.25" customHeight="1">
      <c r="A254" s="279" t="s">
        <v>562</v>
      </c>
      <c r="B254" s="200">
        <v>96974.0</v>
      </c>
      <c r="C254" s="176" t="s">
        <v>563</v>
      </c>
      <c r="D254" s="251" t="s">
        <v>69</v>
      </c>
      <c r="E254" s="252">
        <v>65.7476</v>
      </c>
      <c r="F254" s="179" t="str">
        <f t="shared" si="37"/>
        <v>103.70</v>
      </c>
      <c r="G254" s="253">
        <v>103.7</v>
      </c>
      <c r="H254" s="181" t="str">
        <f t="shared" si="38"/>
        <v>80.36</v>
      </c>
      <c r="I254" s="182" t="str">
        <f t="shared" si="39"/>
        <v>8,333.33</v>
      </c>
      <c r="K254" s="232"/>
    </row>
    <row r="255" ht="21.0" customHeight="1">
      <c r="A255" s="261" t="s">
        <v>564</v>
      </c>
      <c r="B255" s="329" t="s">
        <v>565</v>
      </c>
      <c r="C255" s="382" t="s">
        <v>566</v>
      </c>
      <c r="D255" s="200" t="s">
        <v>46</v>
      </c>
      <c r="E255" s="252">
        <v>27.183</v>
      </c>
      <c r="F255" s="383" t="str">
        <f t="shared" si="37"/>
        <v>28.00</v>
      </c>
      <c r="G255" s="384">
        <v>28.0</v>
      </c>
      <c r="H255" s="385" t="str">
        <f t="shared" si="38"/>
        <v>33.22</v>
      </c>
      <c r="I255" s="182" t="str">
        <f t="shared" si="39"/>
        <v>930.16</v>
      </c>
      <c r="J255" s="368" t="str">
        <f>'COMP ELE'!F297</f>
        <v>33.15</v>
      </c>
      <c r="K255" s="232"/>
    </row>
    <row r="256" ht="14.25" customHeight="1">
      <c r="A256" s="174"/>
      <c r="B256" s="200"/>
      <c r="C256" s="200"/>
      <c r="D256" s="200"/>
      <c r="E256" s="252"/>
      <c r="F256" s="200"/>
      <c r="G256" s="386"/>
      <c r="H256" s="313" t="s">
        <v>47</v>
      </c>
      <c r="I256" s="314" t="str">
        <f>TRUNC(SUM(I249:I255),2)</f>
        <v>22,381.59</v>
      </c>
      <c r="K256" s="232"/>
    </row>
    <row r="257" ht="14.25" customHeight="1">
      <c r="A257" s="315">
        <v>13.0</v>
      </c>
      <c r="B257" s="316"/>
      <c r="C257" s="317" t="s">
        <v>567</v>
      </c>
      <c r="D257" s="387"/>
      <c r="E257" s="387"/>
      <c r="F257" s="318" t="str">
        <f t="shared" ref="F257:F287" si="40">IF(OR(E257&lt;=0)," ",TRUNC(G257,2))</f>
        <v> </v>
      </c>
      <c r="G257" s="388"/>
      <c r="H257" s="388" t="str">
        <f t="shared" ref="H257:H287" si="41">IF(OR(E257&lt;=0)," ",TRUNC((E257*(1+$I$9)),2))</f>
        <v> </v>
      </c>
      <c r="I257" s="322" t="str">
        <f t="shared" ref="I257:I287" si="42">IF(OR(E257&lt;=0)," ",TRUNC((H257*F257),2))</f>
        <v> </v>
      </c>
      <c r="J257" s="389" t="s">
        <v>568</v>
      </c>
      <c r="K257" s="232"/>
    </row>
    <row r="258" ht="35.25" customHeight="1">
      <c r="A258" s="261" t="s">
        <v>569</v>
      </c>
      <c r="B258" s="200">
        <v>89408.0</v>
      </c>
      <c r="C258" s="176" t="s">
        <v>570</v>
      </c>
      <c r="D258" s="345" t="s">
        <v>46</v>
      </c>
      <c r="E258" s="252">
        <v>6.8798</v>
      </c>
      <c r="F258" s="179" t="str">
        <f t="shared" si="40"/>
        <v>20.00</v>
      </c>
      <c r="G258" s="350">
        <v>20.0</v>
      </c>
      <c r="H258" s="390" t="str">
        <f t="shared" si="41"/>
        <v>8.40</v>
      </c>
      <c r="I258" s="182" t="str">
        <f t="shared" si="42"/>
        <v>168.00</v>
      </c>
      <c r="J258" s="173"/>
      <c r="K258" s="232"/>
    </row>
    <row r="259" ht="33.0" customHeight="1">
      <c r="A259" s="279" t="s">
        <v>571</v>
      </c>
      <c r="B259" s="175" t="s">
        <v>572</v>
      </c>
      <c r="C259" s="176" t="s">
        <v>573</v>
      </c>
      <c r="D259" s="345" t="s">
        <v>46</v>
      </c>
      <c r="E259" s="252">
        <v>12.4476</v>
      </c>
      <c r="F259" s="179" t="str">
        <f t="shared" si="40"/>
        <v>5.00</v>
      </c>
      <c r="G259" s="201">
        <v>5.0</v>
      </c>
      <c r="H259" s="390" t="str">
        <f t="shared" si="41"/>
        <v>15.21</v>
      </c>
      <c r="I259" s="182" t="str">
        <f t="shared" si="42"/>
        <v>76.05</v>
      </c>
      <c r="J259" s="391" t="str">
        <f>'COMP HIDR'!F21</f>
        <v>15.18</v>
      </c>
      <c r="K259" s="232"/>
    </row>
    <row r="260" ht="34.5" customHeight="1">
      <c r="A260" s="261" t="s">
        <v>574</v>
      </c>
      <c r="B260" s="175" t="s">
        <v>575</v>
      </c>
      <c r="C260" s="176" t="s">
        <v>576</v>
      </c>
      <c r="D260" s="345" t="s">
        <v>46</v>
      </c>
      <c r="E260" s="252">
        <v>12.6362</v>
      </c>
      <c r="F260" s="269" t="str">
        <f t="shared" si="40"/>
        <v>4.00</v>
      </c>
      <c r="G260" s="350">
        <v>4.0</v>
      </c>
      <c r="H260" s="390" t="str">
        <f t="shared" si="41"/>
        <v>15.44</v>
      </c>
      <c r="I260" s="272" t="str">
        <f t="shared" si="42"/>
        <v>61.76</v>
      </c>
      <c r="J260" s="332" t="str">
        <f>'COMP HIDR'!F35</f>
        <v>15.41</v>
      </c>
      <c r="K260" s="232"/>
    </row>
    <row r="261" ht="30.75" customHeight="1">
      <c r="A261" s="279" t="s">
        <v>577</v>
      </c>
      <c r="B261" s="175" t="s">
        <v>578</v>
      </c>
      <c r="C261" s="176" t="s">
        <v>579</v>
      </c>
      <c r="D261" s="345" t="s">
        <v>46</v>
      </c>
      <c r="E261" s="252">
        <v>104.78779999999999</v>
      </c>
      <c r="F261" s="269" t="str">
        <f t="shared" si="40"/>
        <v>9.00</v>
      </c>
      <c r="G261" s="350">
        <v>9.0</v>
      </c>
      <c r="H261" s="390" t="str">
        <f t="shared" si="41"/>
        <v>128.08</v>
      </c>
      <c r="I261" s="272" t="str">
        <f t="shared" si="42"/>
        <v>1,152.72</v>
      </c>
      <c r="J261" s="332" t="str">
        <f>'COMP HIDR'!F49</f>
        <v>127.79</v>
      </c>
      <c r="K261" s="232"/>
    </row>
    <row r="262" ht="33.0" customHeight="1">
      <c r="A262" s="261" t="s">
        <v>580</v>
      </c>
      <c r="B262" s="175" t="s">
        <v>581</v>
      </c>
      <c r="C262" s="176" t="s">
        <v>582</v>
      </c>
      <c r="D262" s="345" t="s">
        <v>46</v>
      </c>
      <c r="E262" s="252">
        <v>42.0496</v>
      </c>
      <c r="F262" s="179" t="str">
        <f t="shared" si="40"/>
        <v>1.00</v>
      </c>
      <c r="G262" s="350">
        <v>1.0</v>
      </c>
      <c r="H262" s="390" t="str">
        <f t="shared" si="41"/>
        <v>51.39</v>
      </c>
      <c r="I262" s="182" t="str">
        <f t="shared" si="42"/>
        <v>51.39</v>
      </c>
      <c r="J262" s="332" t="str">
        <f>'COMP HIDR'!F62</f>
        <v>51.28</v>
      </c>
      <c r="K262" s="232"/>
    </row>
    <row r="263" ht="34.5" customHeight="1">
      <c r="A263" s="279" t="s">
        <v>583</v>
      </c>
      <c r="B263" s="200">
        <v>89378.0</v>
      </c>
      <c r="C263" s="176" t="s">
        <v>584</v>
      </c>
      <c r="D263" s="345" t="s">
        <v>46</v>
      </c>
      <c r="E263" s="252">
        <v>5.7318</v>
      </c>
      <c r="F263" s="179" t="str">
        <f t="shared" si="40"/>
        <v>5.00</v>
      </c>
      <c r="G263" s="201">
        <v>5.0</v>
      </c>
      <c r="H263" s="390" t="str">
        <f t="shared" si="41"/>
        <v>7.00</v>
      </c>
      <c r="I263" s="182" t="str">
        <f t="shared" si="42"/>
        <v>35.00</v>
      </c>
      <c r="J263" s="392"/>
      <c r="K263" s="232"/>
    </row>
    <row r="264" ht="34.5" customHeight="1">
      <c r="A264" s="261" t="s">
        <v>585</v>
      </c>
      <c r="B264" s="200">
        <v>89575.0</v>
      </c>
      <c r="C264" s="176" t="s">
        <v>586</v>
      </c>
      <c r="D264" s="345" t="s">
        <v>46</v>
      </c>
      <c r="E264" s="252">
        <v>10.742</v>
      </c>
      <c r="F264" s="179" t="str">
        <f t="shared" si="40"/>
        <v>2.00</v>
      </c>
      <c r="G264" s="350">
        <v>2.0</v>
      </c>
      <c r="H264" s="390" t="str">
        <f t="shared" si="41"/>
        <v>13.12</v>
      </c>
      <c r="I264" s="182" t="str">
        <f t="shared" si="42"/>
        <v>26.24</v>
      </c>
      <c r="J264" s="262"/>
      <c r="K264" s="232"/>
    </row>
    <row r="265" ht="32.25" customHeight="1">
      <c r="A265" s="279" t="s">
        <v>587</v>
      </c>
      <c r="B265" s="200">
        <v>89575.0</v>
      </c>
      <c r="C265" s="176" t="s">
        <v>588</v>
      </c>
      <c r="D265" s="222" t="s">
        <v>69</v>
      </c>
      <c r="E265" s="252">
        <v>17.7366</v>
      </c>
      <c r="F265" s="179" t="str">
        <f t="shared" si="40"/>
        <v>55.66</v>
      </c>
      <c r="G265" s="350">
        <v>55.66</v>
      </c>
      <c r="H265" s="390" t="str">
        <f t="shared" si="41"/>
        <v>21.67</v>
      </c>
      <c r="I265" s="182" t="str">
        <f t="shared" si="42"/>
        <v>1,206.15</v>
      </c>
      <c r="J265" s="262"/>
      <c r="K265" s="232"/>
    </row>
    <row r="266" ht="18.0" customHeight="1">
      <c r="A266" s="261" t="s">
        <v>589</v>
      </c>
      <c r="B266" s="175" t="s">
        <v>590</v>
      </c>
      <c r="C266" s="176" t="s">
        <v>591</v>
      </c>
      <c r="D266" s="222" t="s">
        <v>69</v>
      </c>
      <c r="E266" s="252">
        <v>18.2286</v>
      </c>
      <c r="F266" s="179" t="str">
        <f t="shared" si="40"/>
        <v>14.87</v>
      </c>
      <c r="G266" s="350">
        <v>14.87</v>
      </c>
      <c r="H266" s="390" t="str">
        <f t="shared" si="41"/>
        <v>22.28</v>
      </c>
      <c r="I266" s="182" t="str">
        <f t="shared" si="42"/>
        <v>331.30</v>
      </c>
      <c r="J266" s="332" t="str">
        <f>'COMP HIDR'!F74</f>
        <v>22.23</v>
      </c>
      <c r="K266" s="232"/>
    </row>
    <row r="267" ht="32.25" customHeight="1">
      <c r="A267" s="279" t="s">
        <v>592</v>
      </c>
      <c r="B267" s="200">
        <v>99635.0</v>
      </c>
      <c r="C267" s="176" t="s">
        <v>593</v>
      </c>
      <c r="D267" s="345" t="s">
        <v>46</v>
      </c>
      <c r="E267" s="252">
        <v>162.9012</v>
      </c>
      <c r="F267" s="269" t="str">
        <f t="shared" si="40"/>
        <v>2.00</v>
      </c>
      <c r="G267" s="350">
        <v>2.0</v>
      </c>
      <c r="H267" s="390" t="str">
        <f t="shared" si="41"/>
        <v>199.11</v>
      </c>
      <c r="I267" s="272" t="str">
        <f t="shared" si="42"/>
        <v>398.22</v>
      </c>
      <c r="J267" s="262"/>
      <c r="K267" s="232"/>
    </row>
    <row r="268" ht="39.0" customHeight="1">
      <c r="A268" s="261" t="s">
        <v>594</v>
      </c>
      <c r="B268" s="200">
        <v>89987.0</v>
      </c>
      <c r="C268" s="176" t="s">
        <v>595</v>
      </c>
      <c r="D268" s="351" t="s">
        <v>46</v>
      </c>
      <c r="E268" s="252">
        <v>68.7078</v>
      </c>
      <c r="F268" s="179" t="str">
        <f t="shared" si="40"/>
        <v>3.00</v>
      </c>
      <c r="G268" s="350">
        <v>3.0</v>
      </c>
      <c r="H268" s="181" t="str">
        <f t="shared" si="41"/>
        <v>83.98</v>
      </c>
      <c r="I268" s="182" t="str">
        <f t="shared" si="42"/>
        <v>251.94</v>
      </c>
      <c r="J268" s="262"/>
      <c r="K268" s="232"/>
    </row>
    <row r="269" ht="35.25" customHeight="1">
      <c r="A269" s="393" t="s">
        <v>596</v>
      </c>
      <c r="B269" s="356">
        <v>90371.0</v>
      </c>
      <c r="C269" s="357" t="s">
        <v>597</v>
      </c>
      <c r="D269" s="345" t="s">
        <v>46</v>
      </c>
      <c r="E269" s="252">
        <v>23.739</v>
      </c>
      <c r="F269" s="394" t="str">
        <f t="shared" si="40"/>
        <v>1.00</v>
      </c>
      <c r="G269" s="395">
        <v>1.0</v>
      </c>
      <c r="H269" s="396" t="str">
        <f t="shared" si="41"/>
        <v>29.01</v>
      </c>
      <c r="I269" s="397" t="str">
        <f t="shared" si="42"/>
        <v>29.01</v>
      </c>
      <c r="J269" s="262"/>
      <c r="K269" s="232"/>
    </row>
    <row r="270" ht="46.5" customHeight="1">
      <c r="A270" s="261" t="s">
        <v>598</v>
      </c>
      <c r="B270" s="200">
        <v>94794.0</v>
      </c>
      <c r="C270" s="176" t="s">
        <v>599</v>
      </c>
      <c r="D270" s="345" t="s">
        <v>46</v>
      </c>
      <c r="E270" s="252">
        <v>121.60600000000001</v>
      </c>
      <c r="F270" s="179" t="str">
        <f t="shared" si="40"/>
        <v>2.00</v>
      </c>
      <c r="G270" s="350">
        <v>2.0</v>
      </c>
      <c r="H270" s="390" t="str">
        <f t="shared" si="41"/>
        <v>148.63</v>
      </c>
      <c r="I270" s="182" t="str">
        <f t="shared" si="42"/>
        <v>297.26</v>
      </c>
      <c r="J270" s="262"/>
      <c r="K270" s="232"/>
    </row>
    <row r="271" ht="33.75" customHeight="1">
      <c r="A271" s="261" t="s">
        <v>600</v>
      </c>
      <c r="B271" s="200">
        <v>94497.0</v>
      </c>
      <c r="C271" s="176" t="s">
        <v>601</v>
      </c>
      <c r="D271" s="351" t="s">
        <v>46</v>
      </c>
      <c r="E271" s="252">
        <v>77.21940000000001</v>
      </c>
      <c r="F271" s="179" t="str">
        <f t="shared" si="40"/>
        <v>2.00</v>
      </c>
      <c r="G271" s="350">
        <v>2.0</v>
      </c>
      <c r="H271" s="181" t="str">
        <f t="shared" si="41"/>
        <v>94.38</v>
      </c>
      <c r="I271" s="182" t="str">
        <f t="shared" si="42"/>
        <v>188.76</v>
      </c>
      <c r="J271" s="262"/>
      <c r="K271" s="232"/>
    </row>
    <row r="272" ht="47.25" customHeight="1">
      <c r="A272" s="261" t="s">
        <v>602</v>
      </c>
      <c r="B272" s="200">
        <v>89385.0</v>
      </c>
      <c r="C272" s="176" t="s">
        <v>603</v>
      </c>
      <c r="D272" s="351" t="s">
        <v>46</v>
      </c>
      <c r="E272" s="252">
        <v>6.1254</v>
      </c>
      <c r="F272" s="179" t="str">
        <f t="shared" si="40"/>
        <v>2.00</v>
      </c>
      <c r="G272" s="350">
        <v>2.0</v>
      </c>
      <c r="H272" s="181" t="str">
        <f t="shared" si="41"/>
        <v>7.48</v>
      </c>
      <c r="I272" s="182" t="str">
        <f t="shared" si="42"/>
        <v>14.96</v>
      </c>
      <c r="J272" s="254"/>
      <c r="K272" s="232"/>
    </row>
    <row r="273" ht="56.25" customHeight="1">
      <c r="A273" s="261" t="s">
        <v>604</v>
      </c>
      <c r="B273" s="200">
        <v>94703.0</v>
      </c>
      <c r="C273" s="176" t="s">
        <v>605</v>
      </c>
      <c r="D273" s="351" t="s">
        <v>46</v>
      </c>
      <c r="E273" s="252">
        <v>20.901799999999998</v>
      </c>
      <c r="F273" s="179" t="str">
        <f t="shared" si="40"/>
        <v>1.00</v>
      </c>
      <c r="G273" s="350">
        <v>1.0</v>
      </c>
      <c r="H273" s="181" t="str">
        <f t="shared" si="41"/>
        <v>25.54</v>
      </c>
      <c r="I273" s="182" t="str">
        <f t="shared" si="42"/>
        <v>25.54</v>
      </c>
      <c r="J273" s="254"/>
      <c r="K273" s="232"/>
    </row>
    <row r="274" ht="57.75" customHeight="1">
      <c r="A274" s="261" t="s">
        <v>606</v>
      </c>
      <c r="B274" s="200">
        <v>94706.0</v>
      </c>
      <c r="C274" s="176" t="s">
        <v>607</v>
      </c>
      <c r="D274" s="345" t="s">
        <v>46</v>
      </c>
      <c r="E274" s="252">
        <v>44.4932</v>
      </c>
      <c r="F274" s="179" t="str">
        <f t="shared" si="40"/>
        <v>3.00</v>
      </c>
      <c r="G274" s="350">
        <v>3.0</v>
      </c>
      <c r="H274" s="390" t="str">
        <f t="shared" si="41"/>
        <v>54.38</v>
      </c>
      <c r="I274" s="182" t="str">
        <f t="shared" si="42"/>
        <v>163.14</v>
      </c>
      <c r="J274" s="254"/>
      <c r="K274" s="232"/>
    </row>
    <row r="275" ht="48.0" customHeight="1">
      <c r="A275" s="279" t="s">
        <v>608</v>
      </c>
      <c r="B275" s="200">
        <v>89383.0</v>
      </c>
      <c r="C275" s="176" t="s">
        <v>609</v>
      </c>
      <c r="D275" s="345" t="s">
        <v>46</v>
      </c>
      <c r="E275" s="252">
        <v>5.412</v>
      </c>
      <c r="F275" s="179" t="str">
        <f t="shared" si="40"/>
        <v>3.00</v>
      </c>
      <c r="G275" s="350">
        <v>3.0</v>
      </c>
      <c r="H275" s="390" t="str">
        <f t="shared" si="41"/>
        <v>6.61</v>
      </c>
      <c r="I275" s="182" t="str">
        <f t="shared" si="42"/>
        <v>19.83</v>
      </c>
      <c r="J275" s="254"/>
      <c r="K275" s="232"/>
    </row>
    <row r="276" ht="31.5" customHeight="1">
      <c r="A276" s="261" t="s">
        <v>610</v>
      </c>
      <c r="B276" s="175" t="s">
        <v>611</v>
      </c>
      <c r="C276" s="398" t="s">
        <v>612</v>
      </c>
      <c r="D276" s="345" t="s">
        <v>46</v>
      </c>
      <c r="E276" s="252">
        <v>10.5124</v>
      </c>
      <c r="F276" s="179" t="str">
        <f t="shared" si="40"/>
        <v>10.00</v>
      </c>
      <c r="G276" s="350">
        <v>10.0</v>
      </c>
      <c r="H276" s="390" t="str">
        <f t="shared" si="41"/>
        <v>12.84</v>
      </c>
      <c r="I276" s="182" t="str">
        <f t="shared" si="42"/>
        <v>128.40</v>
      </c>
      <c r="J276" s="332" t="str">
        <f>'COMP HIDR'!F88</f>
        <v>12.82</v>
      </c>
      <c r="K276" s="232"/>
    </row>
    <row r="277" ht="30.75" customHeight="1">
      <c r="A277" s="279" t="s">
        <v>613</v>
      </c>
      <c r="B277" s="175" t="s">
        <v>614</v>
      </c>
      <c r="C277" s="398" t="s">
        <v>615</v>
      </c>
      <c r="D277" s="345" t="s">
        <v>46</v>
      </c>
      <c r="E277" s="252">
        <v>9.479199999999999</v>
      </c>
      <c r="F277" s="179" t="str">
        <f t="shared" si="40"/>
        <v>3.00</v>
      </c>
      <c r="G277" s="350">
        <v>3.0</v>
      </c>
      <c r="H277" s="390" t="str">
        <f t="shared" si="41"/>
        <v>11.58</v>
      </c>
      <c r="I277" s="182" t="str">
        <f t="shared" si="42"/>
        <v>34.74</v>
      </c>
      <c r="J277" s="332" t="str">
        <f>'COMP HIDR'!F101</f>
        <v>11.56</v>
      </c>
      <c r="K277" s="232"/>
    </row>
    <row r="278" ht="31.5" customHeight="1">
      <c r="A278" s="261" t="s">
        <v>616</v>
      </c>
      <c r="B278" s="200">
        <v>89395.0</v>
      </c>
      <c r="C278" s="176" t="s">
        <v>617</v>
      </c>
      <c r="D278" s="345" t="s">
        <v>46</v>
      </c>
      <c r="E278" s="252">
        <v>10.438600000000001</v>
      </c>
      <c r="F278" s="179" t="str">
        <f t="shared" si="40"/>
        <v>8.00</v>
      </c>
      <c r="G278" s="350">
        <v>8.0</v>
      </c>
      <c r="H278" s="390" t="str">
        <f t="shared" si="41"/>
        <v>12.75</v>
      </c>
      <c r="I278" s="182" t="str">
        <f t="shared" si="42"/>
        <v>102.00</v>
      </c>
      <c r="J278" s="254"/>
      <c r="K278" s="232"/>
    </row>
    <row r="279" ht="31.5" customHeight="1">
      <c r="A279" s="279" t="s">
        <v>618</v>
      </c>
      <c r="B279" s="175" t="s">
        <v>619</v>
      </c>
      <c r="C279" s="176" t="s">
        <v>620</v>
      </c>
      <c r="D279" s="345" t="s">
        <v>46</v>
      </c>
      <c r="E279" s="252">
        <v>28.823</v>
      </c>
      <c r="F279" s="179" t="str">
        <f t="shared" si="40"/>
        <v>2.00</v>
      </c>
      <c r="G279" s="350">
        <v>2.0</v>
      </c>
      <c r="H279" s="390" t="str">
        <f t="shared" si="41"/>
        <v>35.23</v>
      </c>
      <c r="I279" s="182" t="str">
        <f t="shared" si="42"/>
        <v>70.46</v>
      </c>
      <c r="J279" s="332" t="str">
        <f>'COMP HIDR'!F115</f>
        <v>35.15</v>
      </c>
      <c r="K279" s="232"/>
    </row>
    <row r="280" ht="25.5" customHeight="1">
      <c r="A280" s="261" t="s">
        <v>621</v>
      </c>
      <c r="B280" s="175" t="s">
        <v>622</v>
      </c>
      <c r="C280" s="176" t="s">
        <v>623</v>
      </c>
      <c r="D280" s="345" t="s">
        <v>46</v>
      </c>
      <c r="E280" s="252">
        <v>28.208</v>
      </c>
      <c r="F280" s="179" t="str">
        <f t="shared" si="40"/>
        <v>5.00</v>
      </c>
      <c r="G280" s="350">
        <v>5.0</v>
      </c>
      <c r="H280" s="390" t="str">
        <f t="shared" si="41"/>
        <v>34.47</v>
      </c>
      <c r="I280" s="182" t="str">
        <f t="shared" si="42"/>
        <v>172.35</v>
      </c>
      <c r="J280" s="332" t="str">
        <f>'COMP HIDR'!F129</f>
        <v>34.40</v>
      </c>
      <c r="K280" s="92"/>
    </row>
    <row r="281" ht="45.0" customHeight="1">
      <c r="A281" s="279" t="s">
        <v>624</v>
      </c>
      <c r="B281" s="200">
        <v>89366.0</v>
      </c>
      <c r="C281" s="176" t="s">
        <v>625</v>
      </c>
      <c r="D281" s="345" t="s">
        <v>46</v>
      </c>
      <c r="E281" s="252">
        <v>15.383200000000002</v>
      </c>
      <c r="F281" s="179" t="str">
        <f t="shared" si="40"/>
        <v>1.00</v>
      </c>
      <c r="G281" s="350">
        <v>1.0</v>
      </c>
      <c r="H281" s="390" t="str">
        <f t="shared" si="41"/>
        <v>18.80</v>
      </c>
      <c r="I281" s="182" t="str">
        <f t="shared" si="42"/>
        <v>18.80</v>
      </c>
      <c r="J281" s="262"/>
      <c r="K281" s="232"/>
    </row>
    <row r="282" ht="31.5" customHeight="1">
      <c r="A282" s="261" t="s">
        <v>626</v>
      </c>
      <c r="B282" s="200">
        <v>86884.0</v>
      </c>
      <c r="C282" s="176" t="s">
        <v>627</v>
      </c>
      <c r="D282" s="345" t="s">
        <v>46</v>
      </c>
      <c r="E282" s="252">
        <v>10.0942</v>
      </c>
      <c r="F282" s="179" t="str">
        <f t="shared" si="40"/>
        <v>6.00</v>
      </c>
      <c r="G282" s="350">
        <v>6.0</v>
      </c>
      <c r="H282" s="390" t="str">
        <f t="shared" si="41"/>
        <v>12.33</v>
      </c>
      <c r="I282" s="182" t="str">
        <f t="shared" si="42"/>
        <v>73.98</v>
      </c>
      <c r="J282" s="262"/>
      <c r="K282" s="232"/>
    </row>
    <row r="283" ht="31.5" customHeight="1">
      <c r="A283" s="279" t="s">
        <v>628</v>
      </c>
      <c r="B283" s="175" t="s">
        <v>629</v>
      </c>
      <c r="C283" s="367" t="s">
        <v>630</v>
      </c>
      <c r="D283" s="345" t="s">
        <v>46</v>
      </c>
      <c r="E283" s="252">
        <v>1232.9602</v>
      </c>
      <c r="F283" s="179" t="str">
        <f t="shared" si="40"/>
        <v>1.00</v>
      </c>
      <c r="G283" s="350">
        <v>1.0</v>
      </c>
      <c r="H283" s="390" t="str">
        <f t="shared" si="41"/>
        <v>1,507.04</v>
      </c>
      <c r="I283" s="182" t="str">
        <f t="shared" si="42"/>
        <v>1,507.04</v>
      </c>
      <c r="J283" s="332" t="str">
        <f>'COMP HIDR'!F292</f>
        <v>1503.61</v>
      </c>
      <c r="K283" s="232"/>
    </row>
    <row r="284" ht="33.0" customHeight="1">
      <c r="A284" s="261" t="s">
        <v>631</v>
      </c>
      <c r="B284" s="175" t="s">
        <v>632</v>
      </c>
      <c r="C284" s="176" t="s">
        <v>633</v>
      </c>
      <c r="D284" s="345" t="s">
        <v>46</v>
      </c>
      <c r="E284" s="252">
        <v>1050.5184000000002</v>
      </c>
      <c r="F284" s="179" t="str">
        <f t="shared" si="40"/>
        <v>4.00</v>
      </c>
      <c r="G284" s="350">
        <v>4.0</v>
      </c>
      <c r="H284" s="390" t="str">
        <f t="shared" si="41"/>
        <v>1,284.04</v>
      </c>
      <c r="I284" s="182" t="str">
        <f t="shared" si="42"/>
        <v>5,136.16</v>
      </c>
      <c r="J284" s="332" t="str">
        <f>'COMP HIDR'!F142</f>
        <v>1281.12</v>
      </c>
      <c r="K284" s="232"/>
    </row>
    <row r="285" ht="24.0" customHeight="1">
      <c r="A285" s="279" t="s">
        <v>634</v>
      </c>
      <c r="B285" s="399" t="s">
        <v>635</v>
      </c>
      <c r="C285" s="367" t="s">
        <v>636</v>
      </c>
      <c r="D285" s="400" t="s">
        <v>46</v>
      </c>
      <c r="E285" s="252">
        <v>23.206</v>
      </c>
      <c r="F285" s="269" t="str">
        <f t="shared" si="40"/>
        <v>2.00</v>
      </c>
      <c r="G285" s="363">
        <v>2.0</v>
      </c>
      <c r="H285" s="401" t="str">
        <f t="shared" si="41"/>
        <v>28.36</v>
      </c>
      <c r="I285" s="272" t="str">
        <f t="shared" si="42"/>
        <v>56.72</v>
      </c>
      <c r="J285" s="332" t="str">
        <f>'COMP HIDR'!F153</f>
        <v>28.30</v>
      </c>
      <c r="K285" s="232"/>
    </row>
    <row r="286" ht="45.75" customHeight="1">
      <c r="A286" s="261" t="s">
        <v>637</v>
      </c>
      <c r="B286" s="200">
        <v>86931.0</v>
      </c>
      <c r="C286" s="176" t="s">
        <v>638</v>
      </c>
      <c r="D286" s="351" t="s">
        <v>46</v>
      </c>
      <c r="E286" s="252">
        <v>409.1718</v>
      </c>
      <c r="F286" s="179" t="str">
        <f t="shared" si="40"/>
        <v>4.00</v>
      </c>
      <c r="G286" s="350">
        <v>4.0</v>
      </c>
      <c r="H286" s="181" t="str">
        <f t="shared" si="41"/>
        <v>500.13</v>
      </c>
      <c r="I286" s="182" t="str">
        <f t="shared" si="42"/>
        <v>2,000.52</v>
      </c>
      <c r="J286" s="262"/>
      <c r="K286" s="232"/>
    </row>
    <row r="287" ht="54.75" customHeight="1">
      <c r="A287" s="279" t="s">
        <v>639</v>
      </c>
      <c r="B287" s="402">
        <v>95472.0</v>
      </c>
      <c r="C287" s="176" t="s">
        <v>640</v>
      </c>
      <c r="D287" s="345" t="s">
        <v>46</v>
      </c>
      <c r="E287" s="252">
        <v>630.0798</v>
      </c>
      <c r="F287" s="179" t="str">
        <f t="shared" si="40"/>
        <v>2.00</v>
      </c>
      <c r="G287" s="350">
        <v>2.0</v>
      </c>
      <c r="H287" s="390" t="str">
        <f t="shared" si="41"/>
        <v>770.14</v>
      </c>
      <c r="I287" s="182" t="str">
        <f t="shared" si="42"/>
        <v>1,540.28</v>
      </c>
      <c r="J287" s="254"/>
      <c r="K287" s="232"/>
    </row>
    <row r="288" ht="14.25" customHeight="1">
      <c r="A288" s="185"/>
      <c r="B288" s="188"/>
      <c r="C288" s="403"/>
      <c r="D288" s="188"/>
      <c r="E288" s="404"/>
      <c r="F288" s="188"/>
      <c r="G288" s="405"/>
      <c r="H288" s="192" t="s">
        <v>47</v>
      </c>
      <c r="I288" s="193" t="str">
        <f>TRUNC(SUM(I258:I287),2)</f>
        <v>15,338.72</v>
      </c>
      <c r="J288" s="254"/>
      <c r="K288" s="232"/>
    </row>
    <row r="289" ht="14.25" customHeight="1">
      <c r="A289" s="166">
        <v>14.0</v>
      </c>
      <c r="B289" s="167"/>
      <c r="C289" s="168" t="s">
        <v>641</v>
      </c>
      <c r="D289" s="169"/>
      <c r="E289" s="381"/>
      <c r="F289" s="169" t="str">
        <f t="shared" ref="F289:F304" si="43">IF(OR(E289&lt;=0)," ",TRUNC(G289,2))</f>
        <v> </v>
      </c>
      <c r="G289" s="171"/>
      <c r="H289" s="171" t="str">
        <f t="shared" ref="H289:H304" si="44">IF(OR(E289&lt;=0)," ",TRUNC((E289*(1+$I$9)),2))</f>
        <v> </v>
      </c>
      <c r="I289" s="172" t="str">
        <f t="shared" ref="I289:I304" si="45">IF(OR(E289&lt;=0)," ",TRUNC((H289*F289),2))</f>
        <v> </v>
      </c>
      <c r="J289" s="206" t="s">
        <v>49</v>
      </c>
      <c r="K289" s="232"/>
    </row>
    <row r="290" ht="17.25" customHeight="1">
      <c r="A290" s="261" t="s">
        <v>642</v>
      </c>
      <c r="B290" s="175" t="s">
        <v>643</v>
      </c>
      <c r="C290" s="294" t="s">
        <v>644</v>
      </c>
      <c r="D290" s="351" t="s">
        <v>46</v>
      </c>
      <c r="E290" s="252">
        <v>117.83399999999999</v>
      </c>
      <c r="F290" s="383" t="str">
        <f t="shared" si="43"/>
        <v>2.00</v>
      </c>
      <c r="G290" s="384">
        <v>2.0</v>
      </c>
      <c r="H290" s="385" t="str">
        <f t="shared" si="44"/>
        <v>144.02</v>
      </c>
      <c r="I290" s="182" t="str">
        <f t="shared" si="45"/>
        <v>288.04</v>
      </c>
      <c r="J290" s="332" t="str">
        <f>'COMP HIDR'!F165</f>
        <v>143.70</v>
      </c>
      <c r="K290" s="232"/>
    </row>
    <row r="291" ht="14.25" customHeight="1">
      <c r="A291" s="261" t="s">
        <v>645</v>
      </c>
      <c r="B291" s="200">
        <v>86943.0</v>
      </c>
      <c r="C291" s="176" t="s">
        <v>646</v>
      </c>
      <c r="D291" s="351" t="s">
        <v>46</v>
      </c>
      <c r="E291" s="252">
        <v>214.98760000000001</v>
      </c>
      <c r="F291" s="383" t="str">
        <f t="shared" si="43"/>
        <v>4.00</v>
      </c>
      <c r="G291" s="384">
        <v>4.0</v>
      </c>
      <c r="H291" s="385" t="str">
        <f t="shared" si="44"/>
        <v>262.77</v>
      </c>
      <c r="I291" s="182" t="str">
        <f t="shared" si="45"/>
        <v>1,051.08</v>
      </c>
      <c r="J291" s="254"/>
      <c r="K291" s="232"/>
    </row>
    <row r="292" ht="14.25" customHeight="1">
      <c r="A292" s="261" t="s">
        <v>647</v>
      </c>
      <c r="B292" s="200">
        <v>86903.0</v>
      </c>
      <c r="C292" s="176" t="s">
        <v>648</v>
      </c>
      <c r="D292" s="351" t="s">
        <v>46</v>
      </c>
      <c r="E292" s="252">
        <v>290.116</v>
      </c>
      <c r="F292" s="383" t="str">
        <f t="shared" si="43"/>
        <v>2.00</v>
      </c>
      <c r="G292" s="384">
        <v>2.0</v>
      </c>
      <c r="H292" s="406" t="str">
        <f t="shared" si="44"/>
        <v>354.60</v>
      </c>
      <c r="I292" s="182" t="str">
        <f t="shared" si="45"/>
        <v>709.20</v>
      </c>
      <c r="J292" s="254"/>
      <c r="K292" s="232"/>
    </row>
    <row r="293" ht="14.25" customHeight="1">
      <c r="A293" s="261" t="s">
        <v>649</v>
      </c>
      <c r="B293" s="200">
        <v>86901.0</v>
      </c>
      <c r="C293" s="176" t="s">
        <v>650</v>
      </c>
      <c r="D293" s="351" t="s">
        <v>46</v>
      </c>
      <c r="E293" s="252">
        <v>126.77199999999999</v>
      </c>
      <c r="F293" s="383" t="str">
        <f t="shared" si="43"/>
        <v>4.00</v>
      </c>
      <c r="G293" s="384">
        <v>4.0</v>
      </c>
      <c r="H293" s="385" t="str">
        <f t="shared" si="44"/>
        <v>154.95</v>
      </c>
      <c r="I293" s="182" t="str">
        <f t="shared" si="45"/>
        <v>619.80</v>
      </c>
      <c r="J293" s="254"/>
      <c r="K293" s="232"/>
    </row>
    <row r="294" ht="14.25" customHeight="1">
      <c r="A294" s="261" t="s">
        <v>651</v>
      </c>
      <c r="B294" s="200">
        <v>86900.0</v>
      </c>
      <c r="C294" s="176" t="s">
        <v>652</v>
      </c>
      <c r="D294" s="351" t="s">
        <v>46</v>
      </c>
      <c r="E294" s="252">
        <v>215.35660000000001</v>
      </c>
      <c r="F294" s="383" t="str">
        <f t="shared" si="43"/>
        <v>1.00</v>
      </c>
      <c r="G294" s="384">
        <v>1.0</v>
      </c>
      <c r="H294" s="385" t="str">
        <f t="shared" si="44"/>
        <v>263.23</v>
      </c>
      <c r="I294" s="182" t="str">
        <f t="shared" si="45"/>
        <v>263.23</v>
      </c>
      <c r="J294" s="254"/>
      <c r="K294" s="232"/>
    </row>
    <row r="295" ht="14.25" customHeight="1">
      <c r="A295" s="261" t="s">
        <v>653</v>
      </c>
      <c r="B295" s="200">
        <v>86911.0</v>
      </c>
      <c r="C295" s="176" t="s">
        <v>654</v>
      </c>
      <c r="D295" s="351" t="s">
        <v>46</v>
      </c>
      <c r="E295" s="252">
        <v>73.4392</v>
      </c>
      <c r="F295" s="383" t="str">
        <f t="shared" si="43"/>
        <v>1.00</v>
      </c>
      <c r="G295" s="384">
        <v>1.0</v>
      </c>
      <c r="H295" s="406" t="str">
        <f t="shared" si="44"/>
        <v>89.76</v>
      </c>
      <c r="I295" s="182" t="str">
        <f t="shared" si="45"/>
        <v>89.76</v>
      </c>
      <c r="J295" s="254"/>
      <c r="K295" s="232"/>
    </row>
    <row r="296" ht="14.25" customHeight="1">
      <c r="A296" s="261" t="s">
        <v>655</v>
      </c>
      <c r="B296" s="200">
        <v>86915.0</v>
      </c>
      <c r="C296" s="176" t="s">
        <v>656</v>
      </c>
      <c r="D296" s="351" t="s">
        <v>46</v>
      </c>
      <c r="E296" s="252">
        <v>120.3022</v>
      </c>
      <c r="F296" s="383" t="str">
        <f t="shared" si="43"/>
        <v>1.00</v>
      </c>
      <c r="G296" s="384">
        <v>1.0</v>
      </c>
      <c r="H296" s="406" t="str">
        <f t="shared" si="44"/>
        <v>147.04</v>
      </c>
      <c r="I296" s="182" t="str">
        <f t="shared" si="45"/>
        <v>147.04</v>
      </c>
      <c r="J296" s="254"/>
      <c r="K296" s="232"/>
    </row>
    <row r="297" ht="14.25" customHeight="1">
      <c r="A297" s="261" t="s">
        <v>657</v>
      </c>
      <c r="B297" s="200">
        <v>86914.0</v>
      </c>
      <c r="C297" s="176" t="s">
        <v>658</v>
      </c>
      <c r="D297" s="351" t="s">
        <v>46</v>
      </c>
      <c r="E297" s="252">
        <v>82.41820000000001</v>
      </c>
      <c r="F297" s="383" t="str">
        <f t="shared" si="43"/>
        <v>1.00</v>
      </c>
      <c r="G297" s="384">
        <v>1.0</v>
      </c>
      <c r="H297" s="406" t="str">
        <f t="shared" si="44"/>
        <v>100.73</v>
      </c>
      <c r="I297" s="182" t="str">
        <f t="shared" si="45"/>
        <v>100.73</v>
      </c>
      <c r="J297" s="254"/>
      <c r="K297" s="232"/>
    </row>
    <row r="298" ht="29.25" customHeight="1">
      <c r="A298" s="261" t="s">
        <v>659</v>
      </c>
      <c r="B298" s="407" t="s">
        <v>660</v>
      </c>
      <c r="C298" s="294" t="s">
        <v>661</v>
      </c>
      <c r="D298" s="351" t="s">
        <v>46</v>
      </c>
      <c r="E298" s="252">
        <v>336.5608</v>
      </c>
      <c r="F298" s="383" t="str">
        <f t="shared" si="43"/>
        <v>2.00</v>
      </c>
      <c r="G298" s="384">
        <v>2.0</v>
      </c>
      <c r="H298" s="406" t="str">
        <f t="shared" si="44"/>
        <v>411.37</v>
      </c>
      <c r="I298" s="182" t="str">
        <f t="shared" si="45"/>
        <v>822.74</v>
      </c>
      <c r="J298" s="183" t="str">
        <f>'COMP CIVIL'!F112</f>
        <v>410.44</v>
      </c>
      <c r="K298" s="232"/>
    </row>
    <row r="299" ht="14.25" customHeight="1">
      <c r="A299" s="261" t="s">
        <v>662</v>
      </c>
      <c r="B299" s="407" t="s">
        <v>663</v>
      </c>
      <c r="C299" s="176" t="s">
        <v>664</v>
      </c>
      <c r="D299" s="351" t="s">
        <v>46</v>
      </c>
      <c r="E299" s="252">
        <v>253.82280000000003</v>
      </c>
      <c r="F299" s="383" t="str">
        <f t="shared" si="43"/>
        <v>2.00</v>
      </c>
      <c r="G299" s="384">
        <v>2.0</v>
      </c>
      <c r="H299" s="406" t="str">
        <f t="shared" si="44"/>
        <v>310.24</v>
      </c>
      <c r="I299" s="182" t="str">
        <f t="shared" si="45"/>
        <v>620.48</v>
      </c>
      <c r="J299" s="183" t="str">
        <f>'COMP CIVIL'!F255</f>
        <v>309.54</v>
      </c>
      <c r="K299" s="232"/>
    </row>
    <row r="300" ht="14.25" customHeight="1">
      <c r="A300" s="261" t="s">
        <v>665</v>
      </c>
      <c r="B300" s="407" t="s">
        <v>666</v>
      </c>
      <c r="C300" s="176" t="s">
        <v>667</v>
      </c>
      <c r="D300" s="345" t="s">
        <v>46</v>
      </c>
      <c r="E300" s="252">
        <v>243.35960000000003</v>
      </c>
      <c r="F300" s="383" t="str">
        <f t="shared" si="43"/>
        <v>2.00</v>
      </c>
      <c r="G300" s="384">
        <v>2.0</v>
      </c>
      <c r="H300" s="406" t="str">
        <f t="shared" si="44"/>
        <v>297.45</v>
      </c>
      <c r="I300" s="182" t="str">
        <f t="shared" si="45"/>
        <v>594.90</v>
      </c>
      <c r="J300" s="183" t="str">
        <f>'COMP CIVIL'!F267</f>
        <v>296.78</v>
      </c>
      <c r="K300" s="232"/>
    </row>
    <row r="301" ht="14.25" customHeight="1">
      <c r="A301" s="261" t="s">
        <v>668</v>
      </c>
      <c r="B301" s="200">
        <v>95547.0</v>
      </c>
      <c r="C301" s="176" t="s">
        <v>669</v>
      </c>
      <c r="D301" s="345" t="s">
        <v>46</v>
      </c>
      <c r="E301" s="252">
        <v>61.09</v>
      </c>
      <c r="F301" s="383" t="str">
        <f t="shared" si="43"/>
        <v>4.00</v>
      </c>
      <c r="G301" s="384">
        <v>4.0</v>
      </c>
      <c r="H301" s="406" t="str">
        <f t="shared" si="44"/>
        <v>74.67</v>
      </c>
      <c r="I301" s="182" t="str">
        <f t="shared" si="45"/>
        <v>298.68</v>
      </c>
      <c r="J301" s="255"/>
      <c r="K301" s="232"/>
    </row>
    <row r="302" ht="48.0" customHeight="1">
      <c r="A302" s="261" t="s">
        <v>670</v>
      </c>
      <c r="B302" s="329" t="s">
        <v>671</v>
      </c>
      <c r="C302" s="294" t="s">
        <v>672</v>
      </c>
      <c r="D302" s="251" t="s">
        <v>53</v>
      </c>
      <c r="E302" s="252">
        <v>899.9828</v>
      </c>
      <c r="F302" s="383" t="str">
        <f t="shared" si="43"/>
        <v>1.62</v>
      </c>
      <c r="G302" s="384">
        <v>1.62</v>
      </c>
      <c r="H302" s="406" t="str">
        <f t="shared" si="44"/>
        <v>1,100.04</v>
      </c>
      <c r="I302" s="182" t="str">
        <f t="shared" si="45"/>
        <v>1,782.06</v>
      </c>
      <c r="J302" s="183" t="str">
        <f>'COMP CIVIL'!F281</f>
        <v>1097.54</v>
      </c>
      <c r="K302" s="232"/>
    </row>
    <row r="303" ht="14.25" customHeight="1">
      <c r="A303" s="261" t="s">
        <v>673</v>
      </c>
      <c r="B303" s="329" t="s">
        <v>674</v>
      </c>
      <c r="C303" s="294" t="s">
        <v>675</v>
      </c>
      <c r="D303" s="345" t="s">
        <v>46</v>
      </c>
      <c r="E303" s="252">
        <v>69.741</v>
      </c>
      <c r="F303" s="383" t="str">
        <f t="shared" si="43"/>
        <v>6.00</v>
      </c>
      <c r="G303" s="384">
        <v>6.0</v>
      </c>
      <c r="H303" s="406" t="str">
        <f t="shared" si="44"/>
        <v>85.24</v>
      </c>
      <c r="I303" s="182" t="str">
        <f t="shared" si="45"/>
        <v>511.44</v>
      </c>
      <c r="J303" s="183" t="str">
        <f>'COMP CIVIL'!F292</f>
        <v>85.05</v>
      </c>
      <c r="K303" s="232"/>
    </row>
    <row r="304" ht="14.25" customHeight="1">
      <c r="A304" s="261" t="s">
        <v>676</v>
      </c>
      <c r="B304" s="329" t="s">
        <v>677</v>
      </c>
      <c r="C304" s="294" t="s">
        <v>678</v>
      </c>
      <c r="D304" s="345" t="s">
        <v>46</v>
      </c>
      <c r="E304" s="252">
        <v>69.741</v>
      </c>
      <c r="F304" s="383" t="str">
        <f t="shared" si="43"/>
        <v>4.00</v>
      </c>
      <c r="G304" s="384">
        <v>4.0</v>
      </c>
      <c r="H304" s="406" t="str">
        <f t="shared" si="44"/>
        <v>85.24</v>
      </c>
      <c r="I304" s="182" t="str">
        <f t="shared" si="45"/>
        <v>340.96</v>
      </c>
      <c r="J304" s="183" t="str">
        <f>'COMP CIVIL'!F303</f>
        <v>85.05</v>
      </c>
      <c r="K304" s="232"/>
    </row>
    <row r="305" ht="14.25" customHeight="1">
      <c r="A305" s="286"/>
      <c r="B305" s="287"/>
      <c r="C305" s="287"/>
      <c r="D305" s="287"/>
      <c r="E305" s="408"/>
      <c r="F305" s="287"/>
      <c r="G305" s="409"/>
      <c r="H305" s="192" t="s">
        <v>47</v>
      </c>
      <c r="I305" s="293" t="str">
        <f>TRUNC(SUM(I290:I304),2)</f>
        <v>8,240.14</v>
      </c>
      <c r="J305" s="254"/>
      <c r="K305" s="232"/>
    </row>
    <row r="306" ht="14.25" customHeight="1">
      <c r="A306" s="166">
        <v>15.0</v>
      </c>
      <c r="B306" s="167"/>
      <c r="C306" s="168" t="s">
        <v>679</v>
      </c>
      <c r="D306" s="169"/>
      <c r="E306" s="381"/>
      <c r="F306" s="169"/>
      <c r="G306" s="171"/>
      <c r="H306" s="171"/>
      <c r="I306" s="172"/>
      <c r="J306" s="206"/>
      <c r="K306" s="232"/>
    </row>
    <row r="307" ht="14.25" customHeight="1">
      <c r="A307" s="410" t="s">
        <v>680</v>
      </c>
      <c r="B307" s="411"/>
      <c r="C307" s="412" t="s">
        <v>681</v>
      </c>
      <c r="D307" s="413"/>
      <c r="E307" s="414"/>
      <c r="F307" s="415"/>
      <c r="G307" s="416"/>
      <c r="H307" s="415"/>
      <c r="I307" s="417"/>
      <c r="J307" s="206" t="s">
        <v>568</v>
      </c>
      <c r="K307" s="232"/>
    </row>
    <row r="308" ht="51.75" customHeight="1">
      <c r="A308" s="418" t="s">
        <v>682</v>
      </c>
      <c r="B308" s="419">
        <v>89707.0</v>
      </c>
      <c r="C308" s="420" t="s">
        <v>683</v>
      </c>
      <c r="D308" s="400" t="s">
        <v>46</v>
      </c>
      <c r="E308" s="252">
        <v>41.5248</v>
      </c>
      <c r="F308" s="269" t="str">
        <f t="shared" ref="F308:F333" si="46">IF(OR(E308&lt;=0)," ",TRUNC(G308,2))</f>
        <v>1.00</v>
      </c>
      <c r="G308" s="421">
        <v>1.0</v>
      </c>
      <c r="H308" s="271" t="str">
        <f t="shared" ref="H308:H333" si="47">IF(OR(E308&lt;=0)," ",TRUNC((E308*(1+$I$9)),2))</f>
        <v>50.75</v>
      </c>
      <c r="I308" s="272" t="str">
        <f t="shared" ref="I308:I333" si="48">IF(OR(E308&lt;=0)," ",TRUNC((H308*F308),2))</f>
        <v>50.75</v>
      </c>
      <c r="J308" s="173"/>
      <c r="K308" s="232"/>
    </row>
    <row r="309" ht="36.75" customHeight="1">
      <c r="A309" s="261" t="s">
        <v>684</v>
      </c>
      <c r="B309" s="422" t="s">
        <v>685</v>
      </c>
      <c r="C309" s="294" t="s">
        <v>686</v>
      </c>
      <c r="D309" s="351" t="s">
        <v>46</v>
      </c>
      <c r="E309" s="252">
        <v>54.94</v>
      </c>
      <c r="F309" s="179" t="str">
        <f t="shared" si="46"/>
        <v>5.00</v>
      </c>
      <c r="G309" s="270">
        <v>5.0</v>
      </c>
      <c r="H309" s="181" t="str">
        <f t="shared" si="47"/>
        <v>67.15</v>
      </c>
      <c r="I309" s="182" t="str">
        <f t="shared" si="48"/>
        <v>335.75</v>
      </c>
      <c r="J309" s="183" t="str">
        <f>'COMP HIDR'!F181</f>
        <v>67.00</v>
      </c>
      <c r="K309" s="232"/>
    </row>
    <row r="310" ht="49.5" customHeight="1">
      <c r="A310" s="261" t="s">
        <v>687</v>
      </c>
      <c r="B310" s="334">
        <v>89732.0</v>
      </c>
      <c r="C310" s="294" t="s">
        <v>688</v>
      </c>
      <c r="D310" s="351" t="s">
        <v>46</v>
      </c>
      <c r="E310" s="252">
        <v>13.259400000000001</v>
      </c>
      <c r="F310" s="179" t="str">
        <f t="shared" si="46"/>
        <v>4.00</v>
      </c>
      <c r="G310" s="270">
        <v>4.0</v>
      </c>
      <c r="H310" s="181" t="str">
        <f t="shared" si="47"/>
        <v>16.20</v>
      </c>
      <c r="I310" s="182" t="str">
        <f t="shared" si="48"/>
        <v>64.80</v>
      </c>
      <c r="J310" s="259"/>
      <c r="K310" s="298"/>
    </row>
    <row r="311" ht="50.25" customHeight="1">
      <c r="A311" s="261" t="s">
        <v>689</v>
      </c>
      <c r="B311" s="334">
        <v>89746.0</v>
      </c>
      <c r="C311" s="294" t="s">
        <v>690</v>
      </c>
      <c r="D311" s="351" t="s">
        <v>46</v>
      </c>
      <c r="E311" s="252">
        <v>25.4364</v>
      </c>
      <c r="F311" s="179" t="str">
        <f t="shared" si="46"/>
        <v>7.00</v>
      </c>
      <c r="G311" s="270">
        <v>7.0</v>
      </c>
      <c r="H311" s="181" t="str">
        <f t="shared" si="47"/>
        <v>31.09</v>
      </c>
      <c r="I311" s="182" t="str">
        <f t="shared" si="48"/>
        <v>217.63</v>
      </c>
      <c r="J311" s="259"/>
      <c r="K311" s="298"/>
    </row>
    <row r="312" ht="48.75" customHeight="1">
      <c r="A312" s="423" t="s">
        <v>691</v>
      </c>
      <c r="B312" s="334">
        <v>89737.0</v>
      </c>
      <c r="C312" s="176" t="s">
        <v>692</v>
      </c>
      <c r="D312" s="345" t="s">
        <v>46</v>
      </c>
      <c r="E312" s="252">
        <v>20.418</v>
      </c>
      <c r="F312" s="179" t="str">
        <f t="shared" si="46"/>
        <v>2.00</v>
      </c>
      <c r="G312" s="270">
        <v>2.0</v>
      </c>
      <c r="H312" s="181" t="str">
        <f t="shared" si="47"/>
        <v>24.95</v>
      </c>
      <c r="I312" s="182" t="str">
        <f t="shared" si="48"/>
        <v>49.90</v>
      </c>
      <c r="J312" s="259"/>
      <c r="K312" s="204"/>
    </row>
    <row r="313" ht="50.25" customHeight="1">
      <c r="A313" s="261" t="s">
        <v>693</v>
      </c>
      <c r="B313" s="334">
        <v>89724.0</v>
      </c>
      <c r="C313" s="176" t="s">
        <v>694</v>
      </c>
      <c r="D313" s="351" t="s">
        <v>46</v>
      </c>
      <c r="E313" s="252">
        <v>10.6272</v>
      </c>
      <c r="F313" s="179" t="str">
        <f t="shared" si="46"/>
        <v>7.00</v>
      </c>
      <c r="G313" s="270">
        <v>7.0</v>
      </c>
      <c r="H313" s="181" t="str">
        <f t="shared" si="47"/>
        <v>12.98</v>
      </c>
      <c r="I313" s="182" t="str">
        <f t="shared" si="48"/>
        <v>90.86</v>
      </c>
      <c r="J313" s="259"/>
      <c r="K313" s="298"/>
    </row>
    <row r="314" ht="48.0" customHeight="1">
      <c r="A314" s="261" t="s">
        <v>695</v>
      </c>
      <c r="B314" s="334">
        <v>89731.0</v>
      </c>
      <c r="C314" s="294" t="s">
        <v>696</v>
      </c>
      <c r="D314" s="351" t="s">
        <v>46</v>
      </c>
      <c r="E314" s="252">
        <v>12.537799999999999</v>
      </c>
      <c r="F314" s="179" t="str">
        <f t="shared" si="46"/>
        <v>7.00</v>
      </c>
      <c r="G314" s="270">
        <v>7.0</v>
      </c>
      <c r="H314" s="181" t="str">
        <f t="shared" si="47"/>
        <v>15.32</v>
      </c>
      <c r="I314" s="182" t="str">
        <f t="shared" si="48"/>
        <v>107.24</v>
      </c>
      <c r="J314" s="259"/>
      <c r="K314" s="298"/>
    </row>
    <row r="315" ht="46.5" customHeight="1">
      <c r="A315" s="423" t="s">
        <v>697</v>
      </c>
      <c r="B315" s="334">
        <v>89744.0</v>
      </c>
      <c r="C315" s="294" t="s">
        <v>698</v>
      </c>
      <c r="D315" s="345" t="s">
        <v>46</v>
      </c>
      <c r="E315" s="252">
        <v>25.502000000000002</v>
      </c>
      <c r="F315" s="179" t="str">
        <f t="shared" si="46"/>
        <v>7.00</v>
      </c>
      <c r="G315" s="270">
        <v>7.0</v>
      </c>
      <c r="H315" s="181" t="str">
        <f t="shared" si="47"/>
        <v>31.17</v>
      </c>
      <c r="I315" s="182" t="str">
        <f t="shared" si="48"/>
        <v>218.19</v>
      </c>
      <c r="J315" s="259"/>
      <c r="K315" s="298"/>
    </row>
    <row r="316" ht="19.5" customHeight="1">
      <c r="A316" s="423" t="s">
        <v>699</v>
      </c>
      <c r="B316" s="422" t="s">
        <v>700</v>
      </c>
      <c r="C316" s="294" t="s">
        <v>701</v>
      </c>
      <c r="D316" s="345" t="s">
        <v>46</v>
      </c>
      <c r="E316" s="252">
        <v>34.2596</v>
      </c>
      <c r="F316" s="179" t="str">
        <f t="shared" si="46"/>
        <v>7.00</v>
      </c>
      <c r="G316" s="270">
        <v>7.0</v>
      </c>
      <c r="H316" s="181" t="str">
        <f t="shared" si="47"/>
        <v>41.87</v>
      </c>
      <c r="I316" s="182" t="str">
        <f t="shared" si="48"/>
        <v>293.09</v>
      </c>
      <c r="J316" s="183" t="str">
        <f>'COMP HIDR'!F193</f>
        <v>41.78</v>
      </c>
      <c r="K316" s="298"/>
    </row>
    <row r="317" ht="48.75" customHeight="1">
      <c r="A317" s="423" t="s">
        <v>702</v>
      </c>
      <c r="B317" s="422" t="s">
        <v>703</v>
      </c>
      <c r="C317" s="176" t="s">
        <v>704</v>
      </c>
      <c r="D317" s="345" t="s">
        <v>46</v>
      </c>
      <c r="E317" s="252">
        <v>34.5056</v>
      </c>
      <c r="F317" s="179" t="str">
        <f t="shared" si="46"/>
        <v>2.00</v>
      </c>
      <c r="G317" s="270">
        <v>2.0</v>
      </c>
      <c r="H317" s="181" t="str">
        <f t="shared" si="47"/>
        <v>42.17</v>
      </c>
      <c r="I317" s="182" t="str">
        <f t="shared" si="48"/>
        <v>84.34</v>
      </c>
      <c r="J317" s="183" t="str">
        <f>'COMP HIDR'!F207</f>
        <v>42.08</v>
      </c>
      <c r="K317" s="298"/>
    </row>
    <row r="318" ht="49.5" customHeight="1">
      <c r="A318" s="423" t="s">
        <v>705</v>
      </c>
      <c r="B318" s="200">
        <v>89785.0</v>
      </c>
      <c r="C318" s="176" t="s">
        <v>706</v>
      </c>
      <c r="D318" s="345" t="s">
        <v>46</v>
      </c>
      <c r="E318" s="252">
        <v>23.8948</v>
      </c>
      <c r="F318" s="179" t="str">
        <f t="shared" si="46"/>
        <v>2.00</v>
      </c>
      <c r="G318" s="270">
        <v>2.0</v>
      </c>
      <c r="H318" s="181" t="str">
        <f t="shared" si="47"/>
        <v>29.20</v>
      </c>
      <c r="I318" s="182" t="str">
        <f t="shared" si="48"/>
        <v>58.40</v>
      </c>
      <c r="J318" s="259"/>
      <c r="K318" s="298"/>
    </row>
    <row r="319" ht="14.25" customHeight="1">
      <c r="A319" s="423" t="s">
        <v>707</v>
      </c>
      <c r="B319" s="200">
        <v>89797.0</v>
      </c>
      <c r="C319" s="176" t="s">
        <v>708</v>
      </c>
      <c r="D319" s="345" t="s">
        <v>46</v>
      </c>
      <c r="E319" s="252">
        <v>47.7732</v>
      </c>
      <c r="F319" s="179" t="str">
        <f t="shared" si="46"/>
        <v>4.00</v>
      </c>
      <c r="G319" s="270">
        <v>4.0</v>
      </c>
      <c r="H319" s="181" t="str">
        <f t="shared" si="47"/>
        <v>58.39</v>
      </c>
      <c r="I319" s="182" t="str">
        <f t="shared" si="48"/>
        <v>233.56</v>
      </c>
      <c r="J319" s="259"/>
      <c r="K319" s="298"/>
    </row>
    <row r="320" ht="14.25" customHeight="1">
      <c r="A320" s="423" t="s">
        <v>709</v>
      </c>
      <c r="B320" s="334">
        <v>89711.0</v>
      </c>
      <c r="C320" s="294" t="s">
        <v>710</v>
      </c>
      <c r="D320" s="424" t="s">
        <v>69</v>
      </c>
      <c r="E320" s="252">
        <v>17.2774</v>
      </c>
      <c r="F320" s="179" t="str">
        <f t="shared" si="46"/>
        <v>9.72</v>
      </c>
      <c r="G320" s="270">
        <v>9.72</v>
      </c>
      <c r="H320" s="181" t="str">
        <f t="shared" si="47"/>
        <v>21.11</v>
      </c>
      <c r="I320" s="182" t="str">
        <f t="shared" si="48"/>
        <v>205.18</v>
      </c>
      <c r="J320" s="332"/>
      <c r="K320" s="298"/>
    </row>
    <row r="321" ht="14.25" customHeight="1">
      <c r="A321" s="423" t="s">
        <v>711</v>
      </c>
      <c r="B321" s="334">
        <v>89712.0</v>
      </c>
      <c r="C321" s="294" t="s">
        <v>712</v>
      </c>
      <c r="D321" s="424" t="s">
        <v>69</v>
      </c>
      <c r="E321" s="252">
        <v>22.7714</v>
      </c>
      <c r="F321" s="179" t="str">
        <f t="shared" si="46"/>
        <v>29.38</v>
      </c>
      <c r="G321" s="270">
        <v>29.38</v>
      </c>
      <c r="H321" s="181" t="str">
        <f t="shared" si="47"/>
        <v>27.83</v>
      </c>
      <c r="I321" s="182" t="str">
        <f t="shared" si="48"/>
        <v>817.64</v>
      </c>
      <c r="J321" s="332"/>
      <c r="K321" s="298"/>
    </row>
    <row r="322" ht="49.5" customHeight="1">
      <c r="A322" s="418" t="s">
        <v>713</v>
      </c>
      <c r="B322" s="419">
        <v>89714.0</v>
      </c>
      <c r="C322" s="420" t="s">
        <v>714</v>
      </c>
      <c r="D322" s="425" t="s">
        <v>69</v>
      </c>
      <c r="E322" s="252">
        <v>34.3744</v>
      </c>
      <c r="F322" s="269" t="str">
        <f t="shared" si="46"/>
        <v>22.94</v>
      </c>
      <c r="G322" s="421">
        <v>22.94</v>
      </c>
      <c r="H322" s="271" t="str">
        <f t="shared" si="47"/>
        <v>42.01</v>
      </c>
      <c r="I322" s="272" t="str">
        <f t="shared" si="48"/>
        <v>963.70</v>
      </c>
      <c r="J322" s="332"/>
      <c r="K322" s="298"/>
    </row>
    <row r="323" ht="63.0" customHeight="1">
      <c r="A323" s="261" t="s">
        <v>715</v>
      </c>
      <c r="B323" s="175">
        <v>91794.0</v>
      </c>
      <c r="C323" s="176" t="s">
        <v>716</v>
      </c>
      <c r="D323" s="424" t="s">
        <v>69</v>
      </c>
      <c r="E323" s="252">
        <v>41.041</v>
      </c>
      <c r="F323" s="179" t="str">
        <f t="shared" si="46"/>
        <v>1.84</v>
      </c>
      <c r="G323" s="270">
        <v>1.84</v>
      </c>
      <c r="H323" s="181" t="str">
        <f t="shared" si="47"/>
        <v>50.16</v>
      </c>
      <c r="I323" s="182" t="str">
        <f t="shared" si="48"/>
        <v>92.29</v>
      </c>
      <c r="J323" s="259"/>
      <c r="K323" s="298"/>
    </row>
    <row r="324" ht="14.25" customHeight="1">
      <c r="A324" s="261" t="s">
        <v>717</v>
      </c>
      <c r="B324" s="334">
        <v>89784.0</v>
      </c>
      <c r="C324" s="294" t="s">
        <v>718</v>
      </c>
      <c r="D324" s="351" t="s">
        <v>46</v>
      </c>
      <c r="E324" s="252">
        <v>21.8448</v>
      </c>
      <c r="F324" s="179" t="str">
        <f t="shared" si="46"/>
        <v>5.00</v>
      </c>
      <c r="G324" s="270">
        <v>5.0</v>
      </c>
      <c r="H324" s="181" t="str">
        <f t="shared" si="47"/>
        <v>26.70</v>
      </c>
      <c r="I324" s="182" t="str">
        <f t="shared" si="48"/>
        <v>133.50</v>
      </c>
      <c r="J324" s="332"/>
      <c r="K324" s="298"/>
    </row>
    <row r="325" ht="14.25" customHeight="1">
      <c r="A325" s="261" t="s">
        <v>719</v>
      </c>
      <c r="B325" s="422" t="s">
        <v>720</v>
      </c>
      <c r="C325" s="176" t="s">
        <v>721</v>
      </c>
      <c r="D325" s="351" t="s">
        <v>46</v>
      </c>
      <c r="E325" s="252">
        <v>52.086400000000005</v>
      </c>
      <c r="F325" s="179" t="str">
        <f t="shared" si="46"/>
        <v>2.00</v>
      </c>
      <c r="G325" s="270">
        <v>2.0</v>
      </c>
      <c r="H325" s="181" t="str">
        <f t="shared" si="47"/>
        <v>63.66</v>
      </c>
      <c r="I325" s="182" t="str">
        <f t="shared" si="48"/>
        <v>127.32</v>
      </c>
      <c r="J325" s="183" t="str">
        <f>'COMP HIDR'!F221</f>
        <v>63.52</v>
      </c>
      <c r="K325" s="298"/>
    </row>
    <row r="326" ht="14.25" customHeight="1">
      <c r="A326" s="423" t="s">
        <v>722</v>
      </c>
      <c r="B326" s="422" t="s">
        <v>723</v>
      </c>
      <c r="C326" s="294" t="s">
        <v>724</v>
      </c>
      <c r="D326" s="345" t="s">
        <v>46</v>
      </c>
      <c r="E326" s="252">
        <v>11.8572</v>
      </c>
      <c r="F326" s="179" t="str">
        <f t="shared" si="46"/>
        <v>8.00</v>
      </c>
      <c r="G326" s="270">
        <v>8.0</v>
      </c>
      <c r="H326" s="181" t="str">
        <f t="shared" si="47"/>
        <v>14.49</v>
      </c>
      <c r="I326" s="182" t="str">
        <f t="shared" si="48"/>
        <v>115.92</v>
      </c>
      <c r="J326" s="183" t="str">
        <f>'COMP HIDR'!F257</f>
        <v>14.46</v>
      </c>
      <c r="K326" s="298"/>
    </row>
    <row r="327" ht="14.25" customHeight="1">
      <c r="A327" s="423" t="s">
        <v>725</v>
      </c>
      <c r="B327" s="422" t="s">
        <v>726</v>
      </c>
      <c r="C327" s="176" t="s">
        <v>727</v>
      </c>
      <c r="D327" s="345" t="s">
        <v>46</v>
      </c>
      <c r="E327" s="252">
        <v>17.1708</v>
      </c>
      <c r="F327" s="179" t="str">
        <f t="shared" si="46"/>
        <v>1.00</v>
      </c>
      <c r="G327" s="270">
        <v>1.0</v>
      </c>
      <c r="H327" s="181" t="str">
        <f t="shared" si="47"/>
        <v>20.98</v>
      </c>
      <c r="I327" s="182" t="str">
        <f t="shared" si="48"/>
        <v>20.98</v>
      </c>
      <c r="J327" s="183" t="str">
        <f>'COMP HIDR'!F270</f>
        <v>20.94</v>
      </c>
      <c r="K327" s="298"/>
    </row>
    <row r="328" ht="18.75" customHeight="1">
      <c r="A328" s="423" t="s">
        <v>728</v>
      </c>
      <c r="B328" s="422" t="s">
        <v>729</v>
      </c>
      <c r="C328" s="294" t="s">
        <v>730</v>
      </c>
      <c r="D328" s="345" t="s">
        <v>46</v>
      </c>
      <c r="E328" s="252">
        <v>365.9824</v>
      </c>
      <c r="F328" s="179" t="str">
        <f t="shared" si="46"/>
        <v>3.00</v>
      </c>
      <c r="G328" s="270">
        <v>3.0</v>
      </c>
      <c r="H328" s="181" t="str">
        <f t="shared" si="47"/>
        <v>447.34</v>
      </c>
      <c r="I328" s="182" t="str">
        <f t="shared" si="48"/>
        <v>1,342.02</v>
      </c>
      <c r="J328" s="332" t="str">
        <f>'COMP HIDR'!F281</f>
        <v>446.32</v>
      </c>
      <c r="K328" s="298"/>
    </row>
    <row r="329" ht="28.5" customHeight="1">
      <c r="A329" s="423" t="s">
        <v>731</v>
      </c>
      <c r="B329" s="334">
        <v>98110.0</v>
      </c>
      <c r="C329" s="176" t="s">
        <v>732</v>
      </c>
      <c r="D329" s="345" t="s">
        <v>46</v>
      </c>
      <c r="E329" s="252">
        <v>357.9382</v>
      </c>
      <c r="F329" s="179" t="str">
        <f t="shared" si="46"/>
        <v>1.00</v>
      </c>
      <c r="G329" s="270">
        <v>1.0</v>
      </c>
      <c r="H329" s="181" t="str">
        <f t="shared" si="47"/>
        <v>437.50</v>
      </c>
      <c r="I329" s="182" t="str">
        <f t="shared" si="48"/>
        <v>437.50</v>
      </c>
      <c r="J329" s="332"/>
      <c r="K329" s="298"/>
    </row>
    <row r="330" ht="15.75" customHeight="1">
      <c r="A330" s="423" t="s">
        <v>733</v>
      </c>
      <c r="B330" s="426" t="s">
        <v>734</v>
      </c>
      <c r="C330" s="294" t="s">
        <v>735</v>
      </c>
      <c r="D330" s="345" t="s">
        <v>46</v>
      </c>
      <c r="E330" s="252">
        <v>41.7462</v>
      </c>
      <c r="F330" s="269" t="str">
        <f t="shared" si="46"/>
        <v>1.00</v>
      </c>
      <c r="G330" s="421">
        <v>1.0</v>
      </c>
      <c r="H330" s="181" t="str">
        <f t="shared" si="47"/>
        <v>51.02</v>
      </c>
      <c r="I330" s="182" t="str">
        <f t="shared" si="48"/>
        <v>51.02</v>
      </c>
      <c r="J330" s="332" t="str">
        <f>'COMP HIDR'!F233</f>
        <v>50.91</v>
      </c>
      <c r="K330" s="298"/>
    </row>
    <row r="331" ht="33.0" customHeight="1">
      <c r="A331" s="261" t="s">
        <v>736</v>
      </c>
      <c r="B331" s="334">
        <v>86883.0</v>
      </c>
      <c r="C331" s="176" t="s">
        <v>737</v>
      </c>
      <c r="D331" s="351" t="s">
        <v>46</v>
      </c>
      <c r="E331" s="252">
        <v>12.463999999999999</v>
      </c>
      <c r="F331" s="179" t="str">
        <f t="shared" si="46"/>
        <v>7.00</v>
      </c>
      <c r="G331" s="270">
        <v>7.0</v>
      </c>
      <c r="H331" s="181" t="str">
        <f t="shared" si="47"/>
        <v>15.23</v>
      </c>
      <c r="I331" s="182" t="str">
        <f t="shared" si="48"/>
        <v>106.61</v>
      </c>
      <c r="J331" s="332"/>
      <c r="K331" s="298"/>
    </row>
    <row r="332" ht="28.5" customHeight="1">
      <c r="A332" s="261" t="s">
        <v>738</v>
      </c>
      <c r="B332" s="422" t="s">
        <v>739</v>
      </c>
      <c r="C332" s="294" t="s">
        <v>740</v>
      </c>
      <c r="D332" s="351" t="s">
        <v>46</v>
      </c>
      <c r="E332" s="252">
        <v>9.0528</v>
      </c>
      <c r="F332" s="179" t="str">
        <f t="shared" si="46"/>
        <v>2.00</v>
      </c>
      <c r="G332" s="270">
        <v>2.0</v>
      </c>
      <c r="H332" s="181" t="str">
        <f t="shared" si="47"/>
        <v>11.06</v>
      </c>
      <c r="I332" s="182" t="str">
        <f t="shared" si="48"/>
        <v>22.12</v>
      </c>
      <c r="J332" s="332" t="str">
        <f>'COMP HIDR'!F244</f>
        <v>11.04</v>
      </c>
      <c r="K332" s="298"/>
    </row>
    <row r="333" ht="30.75" customHeight="1">
      <c r="A333" s="423" t="s">
        <v>741</v>
      </c>
      <c r="B333" s="427">
        <v>86879.0</v>
      </c>
      <c r="C333" s="176" t="s">
        <v>742</v>
      </c>
      <c r="D333" s="345" t="s">
        <v>46</v>
      </c>
      <c r="E333" s="252">
        <v>9.2332</v>
      </c>
      <c r="F333" s="269" t="str">
        <f t="shared" si="46"/>
        <v>8.00</v>
      </c>
      <c r="G333" s="421">
        <v>8.0</v>
      </c>
      <c r="H333" s="181" t="str">
        <f t="shared" si="47"/>
        <v>11.28</v>
      </c>
      <c r="I333" s="182" t="str">
        <f t="shared" si="48"/>
        <v>90.24</v>
      </c>
      <c r="J333" s="332"/>
      <c r="K333" s="298"/>
    </row>
    <row r="334" ht="14.25" customHeight="1">
      <c r="A334" s="243"/>
      <c r="B334" s="188"/>
      <c r="C334" s="403"/>
      <c r="D334" s="188"/>
      <c r="E334" s="189"/>
      <c r="F334" s="190"/>
      <c r="G334" s="428"/>
      <c r="H334" s="192" t="s">
        <v>47</v>
      </c>
      <c r="I334" s="193" t="str">
        <f>TRUNC(SUM(I308:I333),2)</f>
        <v>6,330.55</v>
      </c>
      <c r="J334" s="254"/>
      <c r="K334" s="298"/>
    </row>
    <row r="335" ht="14.25" customHeight="1">
      <c r="A335" s="429" t="s">
        <v>743</v>
      </c>
      <c r="B335" s="430"/>
      <c r="C335" s="431" t="s">
        <v>744</v>
      </c>
      <c r="D335" s="432"/>
      <c r="E335" s="433"/>
      <c r="F335" s="434"/>
      <c r="G335" s="435"/>
      <c r="H335" s="434"/>
      <c r="I335" s="436"/>
      <c r="J335" s="254"/>
      <c r="K335" s="298"/>
    </row>
    <row r="336" ht="44.25" customHeight="1">
      <c r="A336" s="437" t="s">
        <v>745</v>
      </c>
      <c r="B336" s="438"/>
      <c r="C336" s="439" t="s">
        <v>746</v>
      </c>
      <c r="D336" s="440"/>
      <c r="E336" s="441"/>
      <c r="F336" s="442"/>
      <c r="G336" s="443"/>
      <c r="H336" s="442"/>
      <c r="I336" s="444"/>
      <c r="J336" s="206" t="s">
        <v>568</v>
      </c>
      <c r="K336" s="298"/>
    </row>
    <row r="337" ht="30.75" customHeight="1">
      <c r="A337" s="423" t="s">
        <v>747</v>
      </c>
      <c r="B337" s="200">
        <v>96522.0</v>
      </c>
      <c r="C337" s="445" t="s">
        <v>748</v>
      </c>
      <c r="D337" s="234" t="s">
        <v>58</v>
      </c>
      <c r="E337" s="252">
        <v>113.734</v>
      </c>
      <c r="F337" s="179" t="str">
        <f t="shared" ref="F337:F347" si="49">IF(OR(E337&lt;=0)," ",TRUNC(G337,2))</f>
        <v>9.11</v>
      </c>
      <c r="G337" s="350">
        <v>9.11</v>
      </c>
      <c r="H337" s="181" t="str">
        <f t="shared" ref="H337:H346" si="50">IF(OR(E337&lt;=0)," ",TRUNC((E337*(1+$I$9)),2))</f>
        <v>139.01</v>
      </c>
      <c r="I337" s="182" t="str">
        <f t="shared" ref="I337:I346" si="51">IF(OR(E337&lt;=0)," ",TRUNC((H337*F337),2))</f>
        <v>1,266.38</v>
      </c>
      <c r="J337" s="446"/>
      <c r="K337" s="298"/>
    </row>
    <row r="338" ht="34.5" customHeight="1">
      <c r="A338" s="423" t="s">
        <v>749</v>
      </c>
      <c r="B338" s="200">
        <v>100323.0</v>
      </c>
      <c r="C338" s="176" t="s">
        <v>750</v>
      </c>
      <c r="D338" s="234" t="s">
        <v>58</v>
      </c>
      <c r="E338" s="252">
        <v>142.2782</v>
      </c>
      <c r="F338" s="179" t="str">
        <f t="shared" si="49"/>
        <v>0.76</v>
      </c>
      <c r="G338" s="350">
        <v>0.763</v>
      </c>
      <c r="H338" s="181" t="str">
        <f t="shared" si="50"/>
        <v>173.90</v>
      </c>
      <c r="I338" s="182" t="str">
        <f t="shared" si="51"/>
        <v>132.16</v>
      </c>
      <c r="J338" s="446"/>
      <c r="K338" s="298"/>
    </row>
    <row r="339" ht="46.5" customHeight="1">
      <c r="A339" s="423" t="s">
        <v>751</v>
      </c>
      <c r="B339" s="200">
        <v>101159.0</v>
      </c>
      <c r="C339" s="176" t="s">
        <v>752</v>
      </c>
      <c r="D339" s="447" t="s">
        <v>53</v>
      </c>
      <c r="E339" s="252">
        <v>123.27060000000002</v>
      </c>
      <c r="F339" s="179" t="str">
        <f t="shared" si="49"/>
        <v>14.44</v>
      </c>
      <c r="G339" s="350">
        <v>14.44</v>
      </c>
      <c r="H339" s="181" t="str">
        <f t="shared" si="50"/>
        <v>150.67</v>
      </c>
      <c r="I339" s="182" t="str">
        <f t="shared" si="51"/>
        <v>2,175.67</v>
      </c>
      <c r="J339" s="446"/>
      <c r="K339" s="448" t="s">
        <v>753</v>
      </c>
    </row>
    <row r="340" ht="30.75" customHeight="1">
      <c r="A340" s="423" t="s">
        <v>754</v>
      </c>
      <c r="B340" s="200">
        <v>96536.0</v>
      </c>
      <c r="C340" s="220" t="s">
        <v>100</v>
      </c>
      <c r="D340" s="251" t="s">
        <v>53</v>
      </c>
      <c r="E340" s="252">
        <v>62.2298</v>
      </c>
      <c r="F340" s="179" t="str">
        <f t="shared" si="49"/>
        <v>7.54</v>
      </c>
      <c r="G340" s="350">
        <v>7.54</v>
      </c>
      <c r="H340" s="181" t="str">
        <f t="shared" si="50"/>
        <v>76.06</v>
      </c>
      <c r="I340" s="182" t="str">
        <f t="shared" si="51"/>
        <v>573.49</v>
      </c>
      <c r="J340" s="446"/>
      <c r="K340" s="448"/>
    </row>
    <row r="341" ht="44.25" customHeight="1">
      <c r="A341" s="423" t="s">
        <v>755</v>
      </c>
      <c r="B341" s="200">
        <v>94965.0</v>
      </c>
      <c r="C341" s="208" t="s">
        <v>120</v>
      </c>
      <c r="D341" s="234" t="s">
        <v>58</v>
      </c>
      <c r="E341" s="252">
        <v>465.76</v>
      </c>
      <c r="F341" s="179" t="str">
        <f t="shared" si="49"/>
        <v>0.81</v>
      </c>
      <c r="G341" s="350">
        <v>0.817</v>
      </c>
      <c r="H341" s="181" t="str">
        <f t="shared" si="50"/>
        <v>569.29</v>
      </c>
      <c r="I341" s="182" t="str">
        <f t="shared" si="51"/>
        <v>461.12</v>
      </c>
      <c r="J341" s="446"/>
      <c r="K341" s="448"/>
    </row>
    <row r="342" ht="30.75" customHeight="1">
      <c r="A342" s="423" t="s">
        <v>756</v>
      </c>
      <c r="B342" s="200">
        <v>103673.0</v>
      </c>
      <c r="C342" s="220" t="s">
        <v>104</v>
      </c>
      <c r="D342" s="234" t="s">
        <v>58</v>
      </c>
      <c r="E342" s="252">
        <v>30.5942</v>
      </c>
      <c r="F342" s="179" t="str">
        <f t="shared" si="49"/>
        <v>0.82</v>
      </c>
      <c r="G342" s="350">
        <v>0.82</v>
      </c>
      <c r="H342" s="181" t="str">
        <f t="shared" si="50"/>
        <v>37.39</v>
      </c>
      <c r="I342" s="182" t="str">
        <f t="shared" si="51"/>
        <v>30.65</v>
      </c>
      <c r="J342" s="446"/>
      <c r="K342" s="448"/>
    </row>
    <row r="343" ht="48.75" customHeight="1">
      <c r="A343" s="261" t="s">
        <v>757</v>
      </c>
      <c r="B343" s="200">
        <v>87893.0</v>
      </c>
      <c r="C343" s="176" t="s">
        <v>758</v>
      </c>
      <c r="D343" s="447" t="s">
        <v>53</v>
      </c>
      <c r="E343" s="252">
        <v>5.756399999999999</v>
      </c>
      <c r="F343" s="179" t="str">
        <f t="shared" si="49"/>
        <v>0.75</v>
      </c>
      <c r="G343" s="350">
        <v>0.754</v>
      </c>
      <c r="H343" s="181" t="str">
        <f t="shared" si="50"/>
        <v>7.03</v>
      </c>
      <c r="I343" s="182" t="str">
        <f t="shared" si="51"/>
        <v>5.27</v>
      </c>
      <c r="J343" s="446"/>
      <c r="K343" s="298"/>
    </row>
    <row r="344" ht="45.0" customHeight="1">
      <c r="A344" s="449" t="s">
        <v>759</v>
      </c>
      <c r="B344" s="356">
        <v>97086.0</v>
      </c>
      <c r="C344" s="357" t="s">
        <v>760</v>
      </c>
      <c r="D344" s="450" t="s">
        <v>53</v>
      </c>
      <c r="E344" s="252">
        <v>98.84280000000001</v>
      </c>
      <c r="F344" s="227" t="str">
        <f t="shared" si="49"/>
        <v>3.80</v>
      </c>
      <c r="G344" s="395">
        <v>3.801</v>
      </c>
      <c r="H344" s="229" t="str">
        <f t="shared" si="50"/>
        <v>120.81</v>
      </c>
      <c r="I344" s="230" t="str">
        <f t="shared" si="51"/>
        <v>459.07</v>
      </c>
      <c r="J344" s="446"/>
      <c r="K344" s="298"/>
    </row>
    <row r="345" ht="30.75" customHeight="1">
      <c r="A345" s="261" t="s">
        <v>761</v>
      </c>
      <c r="B345" s="200">
        <v>92767.0</v>
      </c>
      <c r="C345" s="176" t="s">
        <v>762</v>
      </c>
      <c r="D345" s="251" t="s">
        <v>107</v>
      </c>
      <c r="E345" s="252">
        <v>14.3336</v>
      </c>
      <c r="F345" s="179" t="str">
        <f t="shared" si="49"/>
        <v>26.60</v>
      </c>
      <c r="G345" s="350">
        <v>26.609</v>
      </c>
      <c r="H345" s="181" t="str">
        <f t="shared" si="50"/>
        <v>17.51</v>
      </c>
      <c r="I345" s="182" t="str">
        <f t="shared" si="51"/>
        <v>465.76</v>
      </c>
      <c r="J345" s="446"/>
      <c r="K345" s="298"/>
    </row>
    <row r="346" ht="34.5" customHeight="1">
      <c r="A346" s="261" t="s">
        <v>763</v>
      </c>
      <c r="B346" s="200">
        <v>98115.0</v>
      </c>
      <c r="C346" s="176" t="s">
        <v>764</v>
      </c>
      <c r="D346" s="351" t="s">
        <v>46</v>
      </c>
      <c r="E346" s="252">
        <v>81.4506</v>
      </c>
      <c r="F346" s="179" t="str">
        <f t="shared" si="49"/>
        <v>1.00</v>
      </c>
      <c r="G346" s="350">
        <v>1.0</v>
      </c>
      <c r="H346" s="181" t="str">
        <f t="shared" si="50"/>
        <v>99.55</v>
      </c>
      <c r="I346" s="182" t="str">
        <f t="shared" si="51"/>
        <v>99.55</v>
      </c>
      <c r="J346" s="446"/>
      <c r="K346" s="298"/>
    </row>
    <row r="347" ht="14.25" customHeight="1">
      <c r="A347" s="451"/>
      <c r="B347" s="452"/>
      <c r="C347" s="453"/>
      <c r="D347" s="452"/>
      <c r="E347" s="454"/>
      <c r="F347" s="269" t="str">
        <f t="shared" si="49"/>
        <v> </v>
      </c>
      <c r="G347" s="455"/>
      <c r="H347" s="456" t="s">
        <v>47</v>
      </c>
      <c r="I347" s="457" t="str">
        <f>TRUNC(SUM(I337:I346),2)</f>
        <v>5,669.12</v>
      </c>
      <c r="J347" s="254"/>
      <c r="K347" s="298"/>
    </row>
    <row r="348" ht="18.75" customHeight="1">
      <c r="A348" s="458" t="s">
        <v>765</v>
      </c>
      <c r="B348" s="459"/>
      <c r="C348" s="460" t="s">
        <v>766</v>
      </c>
      <c r="D348" s="461"/>
      <c r="E348" s="462"/>
      <c r="F348" s="462"/>
      <c r="G348" s="462"/>
      <c r="H348" s="462"/>
      <c r="I348" s="463"/>
      <c r="J348" s="254"/>
      <c r="K348" s="298"/>
    </row>
    <row r="349" ht="35.25" customHeight="1">
      <c r="A349" s="423" t="s">
        <v>767</v>
      </c>
      <c r="B349" s="200">
        <v>96522.0</v>
      </c>
      <c r="C349" s="445" t="s">
        <v>748</v>
      </c>
      <c r="D349" s="234" t="s">
        <v>58</v>
      </c>
      <c r="E349" s="252">
        <v>113.734</v>
      </c>
      <c r="F349" s="179" t="str">
        <f t="shared" ref="F349:F361" si="52">IF(OR(E349&lt;=0)," ",TRUNC(G349,2))</f>
        <v>19.85</v>
      </c>
      <c r="G349" s="270">
        <v>19.855</v>
      </c>
      <c r="H349" s="181" t="str">
        <f t="shared" ref="H349:H360" si="53">IF(OR(E349&lt;=0)," ",TRUNC((E349*(1+$I$9)),2))</f>
        <v>139.01</v>
      </c>
      <c r="I349" s="182" t="str">
        <f t="shared" ref="I349:I360" si="54">IF(OR(E349&lt;=0)," ",TRUNC((H349*F349),2))</f>
        <v>2,759.34</v>
      </c>
      <c r="J349" s="254"/>
      <c r="K349" s="298"/>
    </row>
    <row r="350" ht="41.25" customHeight="1">
      <c r="A350" s="423" t="s">
        <v>768</v>
      </c>
      <c r="B350" s="200">
        <v>97084.0</v>
      </c>
      <c r="C350" s="176" t="s">
        <v>769</v>
      </c>
      <c r="D350" s="447" t="s">
        <v>53</v>
      </c>
      <c r="E350" s="252">
        <v>0.5084</v>
      </c>
      <c r="F350" s="179" t="str">
        <f t="shared" si="52"/>
        <v>9.02</v>
      </c>
      <c r="G350" s="421">
        <v>9.025</v>
      </c>
      <c r="H350" s="181" t="str">
        <f t="shared" si="53"/>
        <v>0.62</v>
      </c>
      <c r="I350" s="182" t="str">
        <f t="shared" si="54"/>
        <v>5.59</v>
      </c>
      <c r="J350" s="254"/>
      <c r="K350" s="298"/>
    </row>
    <row r="351" ht="30.75" customHeight="1">
      <c r="A351" s="261" t="s">
        <v>770</v>
      </c>
      <c r="B351" s="200">
        <v>97087.0</v>
      </c>
      <c r="C351" s="176" t="s">
        <v>771</v>
      </c>
      <c r="D351" s="447" t="s">
        <v>53</v>
      </c>
      <c r="E351" s="252">
        <v>1.7712</v>
      </c>
      <c r="F351" s="179" t="str">
        <f t="shared" si="52"/>
        <v>9.02</v>
      </c>
      <c r="G351" s="270">
        <v>9.025</v>
      </c>
      <c r="H351" s="181" t="str">
        <f t="shared" si="53"/>
        <v>2.16</v>
      </c>
      <c r="I351" s="182" t="str">
        <f t="shared" si="54"/>
        <v>19.48</v>
      </c>
      <c r="J351" s="183"/>
      <c r="K351" s="280"/>
    </row>
    <row r="352" ht="33.75" customHeight="1">
      <c r="A352" s="261" t="s">
        <v>772</v>
      </c>
      <c r="B352" s="200">
        <v>97102.0</v>
      </c>
      <c r="C352" s="445" t="s">
        <v>773</v>
      </c>
      <c r="D352" s="464" t="s">
        <v>58</v>
      </c>
      <c r="E352" s="252">
        <v>218.9974</v>
      </c>
      <c r="F352" s="179" t="str">
        <f t="shared" si="52"/>
        <v>1.44</v>
      </c>
      <c r="G352" s="270">
        <v>1.442</v>
      </c>
      <c r="H352" s="181" t="str">
        <f t="shared" si="53"/>
        <v>267.68</v>
      </c>
      <c r="I352" s="182" t="str">
        <f t="shared" si="54"/>
        <v>385.45</v>
      </c>
      <c r="J352" s="254"/>
      <c r="K352" s="298"/>
    </row>
    <row r="353" ht="36.75" customHeight="1">
      <c r="A353" s="423" t="s">
        <v>774</v>
      </c>
      <c r="B353" s="200">
        <v>92767.0</v>
      </c>
      <c r="C353" s="176" t="s">
        <v>762</v>
      </c>
      <c r="D353" s="447" t="s">
        <v>107</v>
      </c>
      <c r="E353" s="252">
        <v>14.3336</v>
      </c>
      <c r="F353" s="179" t="str">
        <f t="shared" si="52"/>
        <v>75.53</v>
      </c>
      <c r="G353" s="421">
        <v>75.53</v>
      </c>
      <c r="H353" s="181" t="str">
        <f t="shared" si="53"/>
        <v>17.51</v>
      </c>
      <c r="I353" s="182" t="str">
        <f t="shared" si="54"/>
        <v>1,322.53</v>
      </c>
      <c r="J353" s="254"/>
      <c r="K353" s="280" t="s">
        <v>775</v>
      </c>
    </row>
    <row r="354" ht="45.75" customHeight="1">
      <c r="A354" s="423" t="s">
        <v>776</v>
      </c>
      <c r="B354" s="200">
        <v>92522.0</v>
      </c>
      <c r="C354" s="176" t="s">
        <v>131</v>
      </c>
      <c r="D354" s="251" t="s">
        <v>53</v>
      </c>
      <c r="E354" s="252">
        <v>39.22880000000001</v>
      </c>
      <c r="F354" s="179" t="str">
        <f t="shared" si="52"/>
        <v>5.39</v>
      </c>
      <c r="G354" s="465">
        <v>5.39</v>
      </c>
      <c r="H354" s="181" t="str">
        <f t="shared" si="53"/>
        <v>47.94</v>
      </c>
      <c r="I354" s="182" t="str">
        <f t="shared" si="54"/>
        <v>258.39</v>
      </c>
      <c r="J354" s="254"/>
      <c r="K354" s="298"/>
    </row>
    <row r="355" ht="20.25" customHeight="1">
      <c r="A355" s="423" t="s">
        <v>777</v>
      </c>
      <c r="B355" s="200">
        <v>96995.0</v>
      </c>
      <c r="C355" s="239" t="s">
        <v>94</v>
      </c>
      <c r="D355" s="234" t="s">
        <v>58</v>
      </c>
      <c r="E355" s="252">
        <v>38.253</v>
      </c>
      <c r="F355" s="179" t="str">
        <f t="shared" si="52"/>
        <v>7.77</v>
      </c>
      <c r="G355" s="465">
        <v>7.77</v>
      </c>
      <c r="H355" s="181" t="str">
        <f t="shared" si="53"/>
        <v>46.75</v>
      </c>
      <c r="I355" s="182" t="str">
        <f t="shared" si="54"/>
        <v>363.24</v>
      </c>
      <c r="J355" s="254"/>
      <c r="K355" s="298"/>
    </row>
    <row r="356" ht="47.25" customHeight="1">
      <c r="A356" s="423" t="s">
        <v>778</v>
      </c>
      <c r="B356" s="200">
        <v>91815.0</v>
      </c>
      <c r="C356" s="176" t="s">
        <v>779</v>
      </c>
      <c r="D356" s="251" t="s">
        <v>53</v>
      </c>
      <c r="E356" s="252">
        <v>69.003</v>
      </c>
      <c r="F356" s="179" t="str">
        <f t="shared" si="52"/>
        <v>18.70</v>
      </c>
      <c r="G356" s="421">
        <v>18.7</v>
      </c>
      <c r="H356" s="181" t="str">
        <f t="shared" si="53"/>
        <v>84.34</v>
      </c>
      <c r="I356" s="182" t="str">
        <f t="shared" si="54"/>
        <v>1,577.15</v>
      </c>
      <c r="J356" s="254"/>
      <c r="K356" s="280" t="s">
        <v>780</v>
      </c>
    </row>
    <row r="357" ht="48.75" customHeight="1">
      <c r="A357" s="423" t="s">
        <v>781</v>
      </c>
      <c r="B357" s="200">
        <v>87893.0</v>
      </c>
      <c r="C357" s="445" t="s">
        <v>782</v>
      </c>
      <c r="D357" s="447" t="s">
        <v>53</v>
      </c>
      <c r="E357" s="252">
        <v>5.756399999999999</v>
      </c>
      <c r="F357" s="179" t="str">
        <f t="shared" si="52"/>
        <v>24.95</v>
      </c>
      <c r="G357" s="421">
        <v>24.95</v>
      </c>
      <c r="H357" s="181" t="str">
        <f t="shared" si="53"/>
        <v>7.03</v>
      </c>
      <c r="I357" s="182" t="str">
        <f t="shared" si="54"/>
        <v>175.39</v>
      </c>
      <c r="J357" s="254"/>
      <c r="K357" s="466"/>
    </row>
    <row r="358" ht="33.0" customHeight="1">
      <c r="A358" s="423" t="s">
        <v>783</v>
      </c>
      <c r="B358" s="200">
        <v>98115.0</v>
      </c>
      <c r="C358" s="176" t="s">
        <v>764</v>
      </c>
      <c r="D358" s="345" t="s">
        <v>46</v>
      </c>
      <c r="E358" s="252">
        <v>81.4506</v>
      </c>
      <c r="F358" s="179" t="str">
        <f t="shared" si="52"/>
        <v>4.00</v>
      </c>
      <c r="G358" s="350">
        <v>4.0</v>
      </c>
      <c r="H358" s="181" t="str">
        <f t="shared" si="53"/>
        <v>99.55</v>
      </c>
      <c r="I358" s="182" t="str">
        <f t="shared" si="54"/>
        <v>398.20</v>
      </c>
      <c r="J358" s="392"/>
      <c r="K358" s="467"/>
    </row>
    <row r="359" ht="17.25" customHeight="1">
      <c r="A359" s="423" t="s">
        <v>784</v>
      </c>
      <c r="B359" s="175" t="s">
        <v>785</v>
      </c>
      <c r="C359" s="445" t="s">
        <v>786</v>
      </c>
      <c r="D359" s="447" t="s">
        <v>46</v>
      </c>
      <c r="E359" s="252">
        <v>26.256400000000003</v>
      </c>
      <c r="F359" s="179" t="str">
        <f t="shared" si="52"/>
        <v>5.10</v>
      </c>
      <c r="G359" s="421">
        <v>5.1</v>
      </c>
      <c r="H359" s="181" t="str">
        <f t="shared" si="53"/>
        <v>32.09</v>
      </c>
      <c r="I359" s="182" t="str">
        <f t="shared" si="54"/>
        <v>163.65</v>
      </c>
      <c r="J359" s="183" t="str">
        <f>'COMP ETE'!F23</f>
        <v>32.02</v>
      </c>
      <c r="K359" s="468" t="s">
        <v>787</v>
      </c>
    </row>
    <row r="360" ht="18.75" customHeight="1">
      <c r="A360" s="423" t="s">
        <v>788</v>
      </c>
      <c r="B360" s="200">
        <v>102719.0</v>
      </c>
      <c r="C360" s="176" t="s">
        <v>789</v>
      </c>
      <c r="D360" s="464" t="s">
        <v>58</v>
      </c>
      <c r="E360" s="252">
        <v>122.80319999999999</v>
      </c>
      <c r="F360" s="179" t="str">
        <f t="shared" si="52"/>
        <v>1.36</v>
      </c>
      <c r="G360" s="421">
        <v>1.36</v>
      </c>
      <c r="H360" s="181" t="str">
        <f t="shared" si="53"/>
        <v>150.10</v>
      </c>
      <c r="I360" s="182" t="str">
        <f t="shared" si="54"/>
        <v>204.13</v>
      </c>
      <c r="J360" s="254"/>
      <c r="K360" s="468"/>
    </row>
    <row r="361" ht="14.25" customHeight="1">
      <c r="A361" s="243"/>
      <c r="B361" s="188"/>
      <c r="C361" s="469"/>
      <c r="D361" s="188"/>
      <c r="E361" s="189"/>
      <c r="F361" s="278" t="str">
        <f t="shared" si="52"/>
        <v> </v>
      </c>
      <c r="G361" s="470"/>
      <c r="H361" s="192" t="s">
        <v>47</v>
      </c>
      <c r="I361" s="193" t="str">
        <f>TRUNC(SUM(I349:I360),2)</f>
        <v>7,632.54</v>
      </c>
      <c r="J361" s="254"/>
      <c r="K361" s="298"/>
    </row>
    <row r="362" ht="14.25" customHeight="1">
      <c r="A362" s="166">
        <v>16.0</v>
      </c>
      <c r="B362" s="167"/>
      <c r="C362" s="168" t="s">
        <v>790</v>
      </c>
      <c r="D362" s="169"/>
      <c r="E362" s="471"/>
      <c r="F362" s="196"/>
      <c r="G362" s="197"/>
      <c r="H362" s="197"/>
      <c r="I362" s="172"/>
      <c r="J362" s="206"/>
      <c r="K362" s="232"/>
    </row>
    <row r="363" ht="14.25" customHeight="1">
      <c r="A363" s="174" t="s">
        <v>791</v>
      </c>
      <c r="B363" s="472" t="s">
        <v>792</v>
      </c>
      <c r="C363" s="294" t="s">
        <v>793</v>
      </c>
      <c r="D363" s="210" t="s">
        <v>53</v>
      </c>
      <c r="E363" s="252">
        <v>802.001</v>
      </c>
      <c r="F363" s="179" t="str">
        <f t="shared" ref="F363:F368" si="55">IF(OR(E363&lt;=0)," ",TRUNC(G363,2))</f>
        <v>2.40</v>
      </c>
      <c r="G363" s="270">
        <v>2.4</v>
      </c>
      <c r="H363" s="181" t="str">
        <f t="shared" ref="H363:H368" si="56">IF(OR(E363&lt;=0)," ",TRUNC((E363*(1+$I$9)),2))</f>
        <v>980.28</v>
      </c>
      <c r="I363" s="182" t="str">
        <f t="shared" ref="I363:I368" si="57">IF(OR(E363&lt;=0)," ",TRUNC((H363*F363),2))</f>
        <v>2,352.67</v>
      </c>
      <c r="J363" s="473" t="str">
        <f>'COMP CIVIL'!F438</f>
        <v>978.05</v>
      </c>
      <c r="K363" s="285"/>
    </row>
    <row r="364" ht="33.0" customHeight="1">
      <c r="A364" s="174" t="s">
        <v>794</v>
      </c>
      <c r="B364" s="474">
        <v>100862.0</v>
      </c>
      <c r="C364" s="176" t="s">
        <v>795</v>
      </c>
      <c r="D364" s="447" t="s">
        <v>46</v>
      </c>
      <c r="E364" s="252">
        <v>35.063199999999995</v>
      </c>
      <c r="F364" s="269" t="str">
        <f t="shared" si="55"/>
        <v>4.00</v>
      </c>
      <c r="G364" s="270">
        <v>4.0</v>
      </c>
      <c r="H364" s="181" t="str">
        <f t="shared" si="56"/>
        <v>42.85</v>
      </c>
      <c r="I364" s="182" t="str">
        <f t="shared" si="57"/>
        <v>171.40</v>
      </c>
      <c r="J364" s="130"/>
      <c r="K364" s="285"/>
    </row>
    <row r="365" ht="31.5" customHeight="1">
      <c r="A365" s="174" t="s">
        <v>796</v>
      </c>
      <c r="B365" s="472" t="s">
        <v>797</v>
      </c>
      <c r="C365" s="294" t="s">
        <v>798</v>
      </c>
      <c r="D365" s="210" t="s">
        <v>69</v>
      </c>
      <c r="E365" s="252">
        <v>85.731</v>
      </c>
      <c r="F365" s="269" t="str">
        <f t="shared" si="55"/>
        <v>7.00</v>
      </c>
      <c r="G365" s="270">
        <v>7.0</v>
      </c>
      <c r="H365" s="271" t="str">
        <f t="shared" si="56"/>
        <v>104.78</v>
      </c>
      <c r="I365" s="272" t="str">
        <f t="shared" si="57"/>
        <v>733.46</v>
      </c>
      <c r="J365" s="473" t="str">
        <f>'COMP CIVIL'!F451</f>
        <v>104.55</v>
      </c>
      <c r="K365" s="475"/>
    </row>
    <row r="366" ht="20.25" customHeight="1">
      <c r="A366" s="174" t="s">
        <v>799</v>
      </c>
      <c r="B366" s="472" t="s">
        <v>800</v>
      </c>
      <c r="C366" s="294" t="s">
        <v>801</v>
      </c>
      <c r="D366" s="200" t="s">
        <v>53</v>
      </c>
      <c r="E366" s="252">
        <v>278.43100000000004</v>
      </c>
      <c r="F366" s="179" t="str">
        <f t="shared" si="55"/>
        <v>0.03</v>
      </c>
      <c r="G366" s="476">
        <v>0.036</v>
      </c>
      <c r="H366" s="181" t="str">
        <f t="shared" si="56"/>
        <v>340.32</v>
      </c>
      <c r="I366" s="182" t="str">
        <f t="shared" si="57"/>
        <v>10.20</v>
      </c>
      <c r="J366" s="473" t="str">
        <f>'COMP CIVIL'!F466</f>
        <v>339.55</v>
      </c>
      <c r="K366" s="285"/>
    </row>
    <row r="367" ht="47.25" customHeight="1">
      <c r="A367" s="174" t="s">
        <v>802</v>
      </c>
      <c r="B367" s="474">
        <v>102253.0</v>
      </c>
      <c r="C367" s="176" t="s">
        <v>803</v>
      </c>
      <c r="D367" s="447" t="s">
        <v>53</v>
      </c>
      <c r="E367" s="252">
        <v>881.5655999999999</v>
      </c>
      <c r="F367" s="179" t="str">
        <f t="shared" si="55"/>
        <v>6.34</v>
      </c>
      <c r="G367" s="270">
        <v>6.34</v>
      </c>
      <c r="H367" s="181" t="str">
        <f t="shared" si="56"/>
        <v>1,077.53</v>
      </c>
      <c r="I367" s="182" t="str">
        <f t="shared" si="57"/>
        <v>6,831.54</v>
      </c>
      <c r="J367" s="448"/>
      <c r="K367" s="285"/>
    </row>
    <row r="368" ht="14.25" customHeight="1">
      <c r="A368" s="174" t="s">
        <v>804</v>
      </c>
      <c r="B368" s="175" t="s">
        <v>805</v>
      </c>
      <c r="C368" s="176" t="s">
        <v>806</v>
      </c>
      <c r="D368" s="200" t="s">
        <v>53</v>
      </c>
      <c r="E368" s="252">
        <v>826.9372</v>
      </c>
      <c r="F368" s="269" t="str">
        <f t="shared" si="55"/>
        <v>0.42</v>
      </c>
      <c r="G368" s="421">
        <v>0.42</v>
      </c>
      <c r="H368" s="271" t="str">
        <f t="shared" si="56"/>
        <v>1,010.76</v>
      </c>
      <c r="I368" s="272" t="str">
        <f t="shared" si="57"/>
        <v>424.51</v>
      </c>
      <c r="J368" s="473" t="str">
        <f>'COMP CIVIL'!F425</f>
        <v>1,008.46</v>
      </c>
      <c r="K368" s="285"/>
    </row>
    <row r="369" ht="14.25" customHeight="1">
      <c r="A369" s="185"/>
      <c r="B369" s="188"/>
      <c r="C369" s="188"/>
      <c r="D369" s="188"/>
      <c r="E369" s="189"/>
      <c r="F369" s="190"/>
      <c r="G369" s="191"/>
      <c r="H369" s="477" t="s">
        <v>47</v>
      </c>
      <c r="I369" s="193" t="str">
        <f>TRUNC(SUM(I363:I368),2)</f>
        <v>10,523.78</v>
      </c>
      <c r="J369" s="448"/>
      <c r="K369" s="285"/>
    </row>
    <row r="370" ht="16.5" customHeight="1">
      <c r="A370" s="166">
        <v>17.0</v>
      </c>
      <c r="B370" s="167"/>
      <c r="C370" s="478" t="s">
        <v>807</v>
      </c>
      <c r="D370" s="479"/>
      <c r="E370" s="480"/>
      <c r="F370" s="481" t="str">
        <f>IF(OR(E370&lt;=0)," ",TRUNC(G370,2))</f>
        <v> </v>
      </c>
      <c r="G370" s="481"/>
      <c r="H370" s="481" t="str">
        <f>IF(OR(E370&lt;=0)," ",TRUNC((E370*(1+$I$9)),2))</f>
        <v> </v>
      </c>
      <c r="I370" s="482" t="str">
        <f>IF(OR(E370&lt;=0)," ",TRUNC((H370*F370),2))</f>
        <v> </v>
      </c>
      <c r="J370" s="254"/>
      <c r="K370" s="232"/>
    </row>
    <row r="371" ht="14.25" customHeight="1">
      <c r="A371" s="483" t="s">
        <v>808</v>
      </c>
      <c r="B371" s="484"/>
      <c r="C371" s="485" t="s">
        <v>809</v>
      </c>
      <c r="D371" s="486"/>
      <c r="E371" s="487"/>
      <c r="F371" s="488"/>
      <c r="G371" s="489"/>
      <c r="H371" s="490"/>
      <c r="I371" s="491"/>
      <c r="J371" s="206" t="s">
        <v>88</v>
      </c>
      <c r="K371" s="232"/>
    </row>
    <row r="372" ht="14.25" customHeight="1">
      <c r="A372" s="174" t="s">
        <v>810</v>
      </c>
      <c r="B372" s="419">
        <v>96527.0</v>
      </c>
      <c r="C372" s="176" t="s">
        <v>92</v>
      </c>
      <c r="D372" s="492" t="s">
        <v>58</v>
      </c>
      <c r="E372" s="252">
        <v>95.407</v>
      </c>
      <c r="F372" s="493" t="str">
        <f t="shared" ref="F372:F379" si="58">IF(OR(E372&lt;=0)," ",TRUNC(G372,2))</f>
        <v>14.85</v>
      </c>
      <c r="G372" s="494">
        <v>14.85</v>
      </c>
      <c r="H372" s="271" t="str">
        <f t="shared" ref="H372:H379" si="59">IF(OR(E372&lt;=0)," ",TRUNC((E372*(1+$I$9)),2))</f>
        <v>116.61</v>
      </c>
      <c r="I372" s="272" t="str">
        <f t="shared" ref="I372:I379" si="60">IF(OR(E372&lt;=0)," ",TRUNC((H372*F372),2))</f>
        <v>1,731.65</v>
      </c>
      <c r="J372" s="254"/>
      <c r="K372" s="495"/>
    </row>
    <row r="373" ht="14.25" customHeight="1">
      <c r="A373" s="174" t="s">
        <v>811</v>
      </c>
      <c r="B373" s="200">
        <v>96995.0</v>
      </c>
      <c r="C373" s="176" t="s">
        <v>94</v>
      </c>
      <c r="D373" s="234" t="s">
        <v>58</v>
      </c>
      <c r="E373" s="252">
        <v>38.253</v>
      </c>
      <c r="F373" s="493" t="str">
        <f t="shared" si="58"/>
        <v>10.80</v>
      </c>
      <c r="G373" s="494">
        <v>10.8</v>
      </c>
      <c r="H373" s="271" t="str">
        <f t="shared" si="59"/>
        <v>46.75</v>
      </c>
      <c r="I373" s="272" t="str">
        <f t="shared" si="60"/>
        <v>504.90</v>
      </c>
      <c r="J373" s="254"/>
      <c r="K373" s="495"/>
    </row>
    <row r="374" ht="14.25" customHeight="1">
      <c r="A374" s="174" t="s">
        <v>812</v>
      </c>
      <c r="B374" s="200">
        <v>96536.0</v>
      </c>
      <c r="C374" s="176" t="s">
        <v>100</v>
      </c>
      <c r="D374" s="251" t="s">
        <v>53</v>
      </c>
      <c r="E374" s="252">
        <v>62.2298</v>
      </c>
      <c r="F374" s="493" t="str">
        <f t="shared" si="58"/>
        <v>67.50</v>
      </c>
      <c r="G374" s="253">
        <v>67.5</v>
      </c>
      <c r="H374" s="181" t="str">
        <f t="shared" si="59"/>
        <v>76.06</v>
      </c>
      <c r="I374" s="182" t="str">
        <f t="shared" si="60"/>
        <v>5,134.05</v>
      </c>
      <c r="J374" s="254"/>
      <c r="K374" s="495"/>
    </row>
    <row r="375" ht="14.25" customHeight="1">
      <c r="A375" s="174" t="s">
        <v>813</v>
      </c>
      <c r="B375" s="200">
        <v>94965.0</v>
      </c>
      <c r="C375" s="176" t="s">
        <v>120</v>
      </c>
      <c r="D375" s="177" t="s">
        <v>58</v>
      </c>
      <c r="E375" s="252">
        <v>465.76</v>
      </c>
      <c r="F375" s="493" t="str">
        <f t="shared" si="58"/>
        <v>4.05</v>
      </c>
      <c r="G375" s="253">
        <v>4.05</v>
      </c>
      <c r="H375" s="181" t="str">
        <f t="shared" si="59"/>
        <v>569.29</v>
      </c>
      <c r="I375" s="182" t="str">
        <f t="shared" si="60"/>
        <v>2,305.62</v>
      </c>
      <c r="J375" s="254"/>
      <c r="K375" s="495"/>
    </row>
    <row r="376" ht="31.5" customHeight="1">
      <c r="A376" s="174" t="s">
        <v>814</v>
      </c>
      <c r="B376" s="200">
        <v>103673.0</v>
      </c>
      <c r="C376" s="176" t="s">
        <v>104</v>
      </c>
      <c r="D376" s="492" t="s">
        <v>58</v>
      </c>
      <c r="E376" s="252">
        <v>30.5942</v>
      </c>
      <c r="F376" s="493" t="str">
        <f t="shared" si="58"/>
        <v>4.05</v>
      </c>
      <c r="G376" s="494">
        <v>4.05</v>
      </c>
      <c r="H376" s="271" t="str">
        <f t="shared" si="59"/>
        <v>37.39</v>
      </c>
      <c r="I376" s="272" t="str">
        <f t="shared" si="60"/>
        <v>151.42</v>
      </c>
      <c r="J376" s="254"/>
      <c r="K376" s="495"/>
    </row>
    <row r="377" ht="35.25" customHeight="1">
      <c r="A377" s="174" t="s">
        <v>815</v>
      </c>
      <c r="B377" s="200">
        <v>96543.0</v>
      </c>
      <c r="C377" s="176" t="s">
        <v>106</v>
      </c>
      <c r="D377" s="251" t="s">
        <v>107</v>
      </c>
      <c r="E377" s="252">
        <v>15.908</v>
      </c>
      <c r="F377" s="493" t="str">
        <f t="shared" si="58"/>
        <v>139.50</v>
      </c>
      <c r="G377" s="350">
        <v>139.5</v>
      </c>
      <c r="H377" s="181" t="str">
        <f t="shared" si="59"/>
        <v>19.44</v>
      </c>
      <c r="I377" s="272" t="str">
        <f t="shared" si="60"/>
        <v>2,711.88</v>
      </c>
      <c r="J377" s="254"/>
      <c r="K377" s="495"/>
    </row>
    <row r="378" ht="46.5" customHeight="1">
      <c r="A378" s="174" t="s">
        <v>816</v>
      </c>
      <c r="B378" s="200">
        <v>92762.0</v>
      </c>
      <c r="C378" s="176" t="s">
        <v>111</v>
      </c>
      <c r="D378" s="251" t="s">
        <v>107</v>
      </c>
      <c r="E378" s="252">
        <v>11.3652</v>
      </c>
      <c r="F378" s="493" t="str">
        <f t="shared" si="58"/>
        <v>279.00</v>
      </c>
      <c r="G378" s="350">
        <v>279.0</v>
      </c>
      <c r="H378" s="181" t="str">
        <f t="shared" si="59"/>
        <v>13.89</v>
      </c>
      <c r="I378" s="272" t="str">
        <f t="shared" si="60"/>
        <v>3,875.31</v>
      </c>
      <c r="J378" s="496"/>
      <c r="K378" s="496"/>
    </row>
    <row r="379" ht="47.25" customHeight="1">
      <c r="A379" s="497" t="s">
        <v>817</v>
      </c>
      <c r="B379" s="452">
        <v>98562.0</v>
      </c>
      <c r="C379" s="367" t="s">
        <v>818</v>
      </c>
      <c r="D379" s="498" t="s">
        <v>53</v>
      </c>
      <c r="E379" s="252">
        <v>37.2772</v>
      </c>
      <c r="F379" s="499" t="str">
        <f t="shared" si="58"/>
        <v>83.10</v>
      </c>
      <c r="G379" s="363">
        <v>83.1</v>
      </c>
      <c r="H379" s="271" t="str">
        <f t="shared" si="59"/>
        <v>45.56</v>
      </c>
      <c r="I379" s="272" t="str">
        <f t="shared" si="60"/>
        <v>3,786.03</v>
      </c>
      <c r="J379" s="496"/>
      <c r="K379" s="496"/>
    </row>
    <row r="380" ht="16.5" customHeight="1">
      <c r="A380" s="483" t="s">
        <v>819</v>
      </c>
      <c r="B380" s="484"/>
      <c r="C380" s="485" t="s">
        <v>820</v>
      </c>
      <c r="D380" s="486"/>
      <c r="E380" s="487"/>
      <c r="F380" s="488"/>
      <c r="G380" s="489"/>
      <c r="H380" s="490"/>
      <c r="I380" s="491"/>
      <c r="J380" s="206"/>
      <c r="K380" s="232"/>
    </row>
    <row r="381" ht="33.75" customHeight="1">
      <c r="A381" s="174" t="s">
        <v>821</v>
      </c>
      <c r="B381" s="200">
        <v>96534.0</v>
      </c>
      <c r="C381" s="176" t="s">
        <v>822</v>
      </c>
      <c r="D381" s="251" t="s">
        <v>53</v>
      </c>
      <c r="E381" s="252">
        <v>72.0206</v>
      </c>
      <c r="F381" s="500" t="str">
        <f t="shared" ref="F381:F384" si="61">IF(OR(E381&lt;=0)," ",TRUNC(G381,2))</f>
        <v>66.15</v>
      </c>
      <c r="G381" s="494">
        <v>66.15</v>
      </c>
      <c r="H381" s="401" t="str">
        <f t="shared" ref="H381:H384" si="62">IF(OR(E381&lt;=0)," ",TRUNC((E381*(1+$I$9)),2))</f>
        <v>88.03</v>
      </c>
      <c r="I381" s="272" t="str">
        <f t="shared" ref="I381:I384" si="63">IF(OR(E381&lt;=0)," ",TRUNC((H381*F381),2))</f>
        <v>5,823.18</v>
      </c>
      <c r="J381" s="254"/>
      <c r="K381" s="273"/>
    </row>
    <row r="382" ht="42.0" customHeight="1">
      <c r="A382" s="174" t="s">
        <v>823</v>
      </c>
      <c r="B382" s="200">
        <v>94965.0</v>
      </c>
      <c r="C382" s="92" t="s">
        <v>120</v>
      </c>
      <c r="D382" s="492" t="s">
        <v>58</v>
      </c>
      <c r="E382" s="252">
        <v>465.76</v>
      </c>
      <c r="F382" s="500" t="str">
        <f t="shared" si="61"/>
        <v>5.63</v>
      </c>
      <c r="G382" s="494">
        <v>5.63</v>
      </c>
      <c r="H382" s="401" t="str">
        <f t="shared" si="62"/>
        <v>569.29</v>
      </c>
      <c r="I382" s="272" t="str">
        <f t="shared" si="63"/>
        <v>3,205.10</v>
      </c>
      <c r="J382" s="254"/>
      <c r="K382" s="273"/>
    </row>
    <row r="383" ht="33.0" customHeight="1">
      <c r="A383" s="174" t="s">
        <v>824</v>
      </c>
      <c r="B383" s="200">
        <v>103673.0</v>
      </c>
      <c r="C383" s="176" t="s">
        <v>104</v>
      </c>
      <c r="D383" s="492" t="s">
        <v>58</v>
      </c>
      <c r="E383" s="252">
        <v>30.5942</v>
      </c>
      <c r="F383" s="500" t="str">
        <f t="shared" si="61"/>
        <v>5.63</v>
      </c>
      <c r="G383" s="494">
        <v>5.63</v>
      </c>
      <c r="H383" s="401" t="str">
        <f t="shared" si="62"/>
        <v>37.39</v>
      </c>
      <c r="I383" s="272" t="str">
        <f t="shared" si="63"/>
        <v>210.50</v>
      </c>
      <c r="J383" s="254"/>
      <c r="K383" s="273"/>
    </row>
    <row r="384" ht="35.25" customHeight="1">
      <c r="A384" s="174" t="s">
        <v>825</v>
      </c>
      <c r="B384" s="188">
        <v>96543.0</v>
      </c>
      <c r="C384" s="275" t="s">
        <v>826</v>
      </c>
      <c r="D384" s="501" t="s">
        <v>107</v>
      </c>
      <c r="E384" s="252">
        <v>15.908</v>
      </c>
      <c r="F384" s="502" t="str">
        <f t="shared" si="61"/>
        <v>92.35</v>
      </c>
      <c r="G384" s="503">
        <v>92.35</v>
      </c>
      <c r="H384" s="504" t="str">
        <f t="shared" si="62"/>
        <v>19.44</v>
      </c>
      <c r="I384" s="505" t="str">
        <f t="shared" si="63"/>
        <v>1,795.28</v>
      </c>
      <c r="J384" s="254"/>
      <c r="K384" s="496"/>
    </row>
    <row r="385" ht="14.25" customHeight="1">
      <c r="A385" s="506" t="s">
        <v>827</v>
      </c>
      <c r="B385" s="507"/>
      <c r="C385" s="508" t="s">
        <v>828</v>
      </c>
      <c r="D385" s="509"/>
      <c r="E385" s="510"/>
      <c r="F385" s="511"/>
      <c r="G385" s="512"/>
      <c r="H385" s="490"/>
      <c r="I385" s="491"/>
      <c r="J385" s="206"/>
      <c r="K385" s="232"/>
    </row>
    <row r="386" ht="36.0" customHeight="1">
      <c r="A386" s="174" t="s">
        <v>829</v>
      </c>
      <c r="B386" s="200">
        <v>101173.0</v>
      </c>
      <c r="C386" s="176" t="s">
        <v>830</v>
      </c>
      <c r="D386" s="251" t="s">
        <v>69</v>
      </c>
      <c r="E386" s="252">
        <v>52.5866</v>
      </c>
      <c r="F386" s="493" t="str">
        <f t="shared" ref="F386:F404" si="64">IF(OR(E386&lt;=0)," ",TRUNC(G386,2))</f>
        <v>63.00</v>
      </c>
      <c r="G386" s="253">
        <v>63.0</v>
      </c>
      <c r="H386" s="181" t="str">
        <f t="shared" ref="H386:H404" si="65">IF(OR(E386&lt;=0)," ",TRUNC((E386*(1+$I$9)),2))</f>
        <v>64.27</v>
      </c>
      <c r="I386" s="182" t="str">
        <f t="shared" ref="I386:I404" si="66">IF(OR(E386&lt;=0)," ",TRUNC((H386*F386),2))</f>
        <v>4,049.01</v>
      </c>
      <c r="J386" s="254"/>
      <c r="K386" s="513" t="s">
        <v>831</v>
      </c>
      <c r="L386" s="514" t="s">
        <v>832</v>
      </c>
    </row>
    <row r="387" ht="48.75" customHeight="1">
      <c r="A387" s="174" t="s">
        <v>833</v>
      </c>
      <c r="B387" s="200">
        <v>94965.0</v>
      </c>
      <c r="C387" s="176" t="s">
        <v>120</v>
      </c>
      <c r="D387" s="177" t="s">
        <v>58</v>
      </c>
      <c r="E387" s="252">
        <v>465.76</v>
      </c>
      <c r="F387" s="493" t="str">
        <f t="shared" si="64"/>
        <v>1.98</v>
      </c>
      <c r="G387" s="253">
        <v>1.98</v>
      </c>
      <c r="H387" s="181" t="str">
        <f t="shared" si="65"/>
        <v>569.29</v>
      </c>
      <c r="I387" s="182" t="str">
        <f t="shared" si="66"/>
        <v>1,127.19</v>
      </c>
      <c r="J387" s="254"/>
      <c r="K387" s="232"/>
    </row>
    <row r="388" ht="33.0" customHeight="1">
      <c r="A388" s="174" t="s">
        <v>834</v>
      </c>
      <c r="B388" s="200">
        <v>103673.0</v>
      </c>
      <c r="C388" s="176" t="s">
        <v>104</v>
      </c>
      <c r="D388" s="177" t="s">
        <v>58</v>
      </c>
      <c r="E388" s="252">
        <v>30.5942</v>
      </c>
      <c r="F388" s="493" t="str">
        <f t="shared" si="64"/>
        <v>1.98</v>
      </c>
      <c r="G388" s="253">
        <v>1.98</v>
      </c>
      <c r="H388" s="181" t="str">
        <f t="shared" si="65"/>
        <v>37.39</v>
      </c>
      <c r="I388" s="182" t="str">
        <f t="shared" si="66"/>
        <v>74.03</v>
      </c>
      <c r="J388" s="254"/>
      <c r="K388" s="232"/>
    </row>
    <row r="389" ht="33.75" customHeight="1">
      <c r="A389" s="174" t="s">
        <v>835</v>
      </c>
      <c r="B389" s="323">
        <v>95583.0</v>
      </c>
      <c r="C389" s="176" t="s">
        <v>836</v>
      </c>
      <c r="D389" s="447" t="s">
        <v>107</v>
      </c>
      <c r="E389" s="252">
        <v>14.5878</v>
      </c>
      <c r="F389" s="493" t="str">
        <f t="shared" si="64"/>
        <v>50.35</v>
      </c>
      <c r="G389" s="253">
        <v>50.35</v>
      </c>
      <c r="H389" s="181" t="str">
        <f t="shared" si="65"/>
        <v>17.83</v>
      </c>
      <c r="I389" s="272" t="str">
        <f t="shared" si="66"/>
        <v>897.74</v>
      </c>
      <c r="J389" s="254"/>
      <c r="K389" s="232"/>
    </row>
    <row r="390" ht="33.75" customHeight="1">
      <c r="A390" s="185" t="s">
        <v>837</v>
      </c>
      <c r="B390" s="188">
        <v>95577.0</v>
      </c>
      <c r="C390" s="275" t="s">
        <v>838</v>
      </c>
      <c r="D390" s="501" t="s">
        <v>107</v>
      </c>
      <c r="E390" s="252">
        <v>11.078199999999999</v>
      </c>
      <c r="F390" s="515" t="str">
        <f t="shared" si="64"/>
        <v>239.10</v>
      </c>
      <c r="G390" s="503">
        <v>239.1</v>
      </c>
      <c r="H390" s="191" t="str">
        <f t="shared" si="65"/>
        <v>13.54</v>
      </c>
      <c r="I390" s="505" t="str">
        <f t="shared" si="66"/>
        <v>3,237.41</v>
      </c>
      <c r="J390" s="496"/>
      <c r="K390" s="496"/>
    </row>
    <row r="391" ht="14.25" customHeight="1">
      <c r="A391" s="483" t="s">
        <v>839</v>
      </c>
      <c r="B391" s="484"/>
      <c r="C391" s="485" t="s">
        <v>840</v>
      </c>
      <c r="D391" s="486"/>
      <c r="E391" s="487"/>
      <c r="F391" s="488" t="str">
        <f t="shared" si="64"/>
        <v> </v>
      </c>
      <c r="G391" s="489"/>
      <c r="H391" s="490" t="str">
        <f t="shared" si="65"/>
        <v> </v>
      </c>
      <c r="I391" s="491" t="str">
        <f t="shared" si="66"/>
        <v> </v>
      </c>
      <c r="J391" s="206"/>
      <c r="K391" s="232"/>
    </row>
    <row r="392" ht="51.75" customHeight="1">
      <c r="A392" s="174" t="s">
        <v>841</v>
      </c>
      <c r="B392" s="200">
        <v>92427.0</v>
      </c>
      <c r="C392" s="176" t="s">
        <v>842</v>
      </c>
      <c r="D392" s="251" t="s">
        <v>53</v>
      </c>
      <c r="E392" s="252">
        <v>57.08840000000001</v>
      </c>
      <c r="F392" s="493" t="str">
        <f t="shared" si="64"/>
        <v>101.25</v>
      </c>
      <c r="G392" s="253">
        <v>101.25</v>
      </c>
      <c r="H392" s="181" t="str">
        <f t="shared" si="65"/>
        <v>69.77</v>
      </c>
      <c r="I392" s="182" t="str">
        <f t="shared" si="66"/>
        <v>7,064.21</v>
      </c>
      <c r="J392" s="254"/>
      <c r="K392" s="232"/>
    </row>
    <row r="393" ht="45.75" customHeight="1">
      <c r="A393" s="174" t="s">
        <v>843</v>
      </c>
      <c r="B393" s="200">
        <v>94965.0</v>
      </c>
      <c r="C393" s="176" t="s">
        <v>120</v>
      </c>
      <c r="D393" s="177" t="s">
        <v>58</v>
      </c>
      <c r="E393" s="252">
        <v>465.76</v>
      </c>
      <c r="F393" s="493" t="str">
        <f t="shared" si="64"/>
        <v>5.40</v>
      </c>
      <c r="G393" s="253">
        <v>5.4</v>
      </c>
      <c r="H393" s="181" t="str">
        <f t="shared" si="65"/>
        <v>569.29</v>
      </c>
      <c r="I393" s="182" t="str">
        <f t="shared" si="66"/>
        <v>3,074.16</v>
      </c>
      <c r="J393" s="254"/>
      <c r="K393" s="232"/>
    </row>
    <row r="394" ht="33.75" customHeight="1">
      <c r="A394" s="174" t="s">
        <v>844</v>
      </c>
      <c r="B394" s="200">
        <v>103673.0</v>
      </c>
      <c r="C394" s="176" t="s">
        <v>104</v>
      </c>
      <c r="D394" s="492" t="s">
        <v>58</v>
      </c>
      <c r="E394" s="252">
        <v>30.5942</v>
      </c>
      <c r="F394" s="493" t="str">
        <f t="shared" si="64"/>
        <v>5.40</v>
      </c>
      <c r="G394" s="253">
        <v>5.4</v>
      </c>
      <c r="H394" s="181" t="str">
        <f t="shared" si="65"/>
        <v>37.39</v>
      </c>
      <c r="I394" s="272" t="str">
        <f t="shared" si="66"/>
        <v>201.90</v>
      </c>
      <c r="J394" s="254"/>
      <c r="K394" s="232"/>
    </row>
    <row r="395" ht="47.25" customHeight="1">
      <c r="A395" s="174" t="s">
        <v>845</v>
      </c>
      <c r="B395" s="200">
        <v>104111.0</v>
      </c>
      <c r="C395" s="176" t="s">
        <v>846</v>
      </c>
      <c r="D395" s="447" t="s">
        <v>107</v>
      </c>
      <c r="E395" s="252">
        <v>17.8678</v>
      </c>
      <c r="F395" s="493" t="str">
        <f t="shared" si="64"/>
        <v>117.00</v>
      </c>
      <c r="G395" s="253">
        <v>117.0</v>
      </c>
      <c r="H395" s="181" t="str">
        <f t="shared" si="65"/>
        <v>21.83</v>
      </c>
      <c r="I395" s="272" t="str">
        <f t="shared" si="66"/>
        <v>2,554.11</v>
      </c>
      <c r="J395" s="254"/>
      <c r="K395" s="232"/>
    </row>
    <row r="396" ht="46.5" customHeight="1">
      <c r="A396" s="185" t="s">
        <v>847</v>
      </c>
      <c r="B396" s="188">
        <v>92762.0</v>
      </c>
      <c r="C396" s="275" t="s">
        <v>111</v>
      </c>
      <c r="D396" s="501" t="s">
        <v>107</v>
      </c>
      <c r="E396" s="252">
        <v>11.3652</v>
      </c>
      <c r="F396" s="502" t="str">
        <f t="shared" si="64"/>
        <v>274.50</v>
      </c>
      <c r="G396" s="503">
        <v>274.5</v>
      </c>
      <c r="H396" s="191" t="str">
        <f t="shared" si="65"/>
        <v>13.89</v>
      </c>
      <c r="I396" s="505" t="str">
        <f t="shared" si="66"/>
        <v>3,812.80</v>
      </c>
      <c r="J396" s="496"/>
      <c r="K396" s="496"/>
    </row>
    <row r="397" ht="14.25" customHeight="1">
      <c r="A397" s="516" t="s">
        <v>848</v>
      </c>
      <c r="B397" s="438"/>
      <c r="C397" s="517" t="s">
        <v>849</v>
      </c>
      <c r="D397" s="518"/>
      <c r="E397" s="441"/>
      <c r="F397" s="519" t="str">
        <f t="shared" si="64"/>
        <v> </v>
      </c>
      <c r="G397" s="442"/>
      <c r="H397" s="520" t="str">
        <f t="shared" si="65"/>
        <v> </v>
      </c>
      <c r="I397" s="521" t="str">
        <f t="shared" si="66"/>
        <v> </v>
      </c>
      <c r="J397" s="206" t="s">
        <v>49</v>
      </c>
      <c r="K397" s="232"/>
    </row>
    <row r="398" ht="49.5" customHeight="1">
      <c r="A398" s="174" t="s">
        <v>850</v>
      </c>
      <c r="B398" s="200">
        <v>91815.0</v>
      </c>
      <c r="C398" s="176" t="s">
        <v>779</v>
      </c>
      <c r="D398" s="251" t="s">
        <v>53</v>
      </c>
      <c r="E398" s="252">
        <v>69.003</v>
      </c>
      <c r="F398" s="493" t="str">
        <f t="shared" si="64"/>
        <v>110.80</v>
      </c>
      <c r="G398" s="253">
        <v>110.8</v>
      </c>
      <c r="H398" s="181" t="str">
        <f t="shared" si="65"/>
        <v>84.34</v>
      </c>
      <c r="I398" s="272" t="str">
        <f t="shared" si="66"/>
        <v>9,344.87</v>
      </c>
      <c r="J398" s="254"/>
      <c r="K398" s="513" t="s">
        <v>851</v>
      </c>
    </row>
    <row r="399" ht="47.25" customHeight="1">
      <c r="A399" s="174" t="s">
        <v>852</v>
      </c>
      <c r="B399" s="200">
        <v>87894.0</v>
      </c>
      <c r="C399" s="176" t="s">
        <v>853</v>
      </c>
      <c r="D399" s="200" t="str">
        <f>$D$398</f>
        <v>m²</v>
      </c>
      <c r="E399" s="252">
        <v>5.3628</v>
      </c>
      <c r="F399" s="493" t="str">
        <f t="shared" si="64"/>
        <v>105.79</v>
      </c>
      <c r="G399" s="253">
        <v>105.79</v>
      </c>
      <c r="H399" s="181" t="str">
        <f t="shared" si="65"/>
        <v>6.55</v>
      </c>
      <c r="I399" s="272" t="str">
        <f t="shared" si="66"/>
        <v>692.92</v>
      </c>
      <c r="J399" s="254"/>
      <c r="K399" s="273"/>
    </row>
    <row r="400" ht="54.75" customHeight="1">
      <c r="A400" s="174" t="s">
        <v>854</v>
      </c>
      <c r="B400" s="200">
        <v>87792.0</v>
      </c>
      <c r="C400" s="176" t="s">
        <v>855</v>
      </c>
      <c r="D400" s="251" t="s">
        <v>53</v>
      </c>
      <c r="E400" s="252">
        <v>32.1194</v>
      </c>
      <c r="F400" s="493" t="str">
        <f t="shared" si="64"/>
        <v>105.79</v>
      </c>
      <c r="G400" s="253">
        <v>105.79</v>
      </c>
      <c r="H400" s="181" t="str">
        <f t="shared" si="65"/>
        <v>39.25</v>
      </c>
      <c r="I400" s="272" t="str">
        <f t="shared" si="66"/>
        <v>4,152.25</v>
      </c>
      <c r="J400" s="496"/>
      <c r="K400" s="496"/>
    </row>
    <row r="401" ht="18.75" customHeight="1">
      <c r="A401" s="497" t="s">
        <v>856</v>
      </c>
      <c r="B401" s="522" t="s">
        <v>857</v>
      </c>
      <c r="C401" s="367" t="s">
        <v>858</v>
      </c>
      <c r="D401" s="498" t="s">
        <v>53</v>
      </c>
      <c r="E401" s="252">
        <v>908.642</v>
      </c>
      <c r="F401" s="499" t="str">
        <f t="shared" si="64"/>
        <v>388.83</v>
      </c>
      <c r="G401" s="494">
        <v>388.83</v>
      </c>
      <c r="H401" s="271" t="str">
        <f t="shared" si="65"/>
        <v>1,110.63</v>
      </c>
      <c r="I401" s="272" t="str">
        <f t="shared" si="66"/>
        <v>431,846.26</v>
      </c>
      <c r="J401" s="523" t="str">
        <f>'COMP CIVIL'!F147</f>
        <v>1,108.10</v>
      </c>
      <c r="K401" s="524"/>
      <c r="L401" s="525"/>
    </row>
    <row r="402" ht="14.25" customHeight="1">
      <c r="A402" s="483" t="s">
        <v>859</v>
      </c>
      <c r="B402" s="484"/>
      <c r="C402" s="485" t="s">
        <v>860</v>
      </c>
      <c r="D402" s="486"/>
      <c r="E402" s="487"/>
      <c r="F402" s="526" t="str">
        <f t="shared" si="64"/>
        <v> </v>
      </c>
      <c r="G402" s="489"/>
      <c r="H402" s="527" t="str">
        <f t="shared" si="65"/>
        <v> </v>
      </c>
      <c r="I402" s="491" t="str">
        <f t="shared" si="66"/>
        <v> </v>
      </c>
      <c r="J402" s="206"/>
      <c r="K402" s="232"/>
    </row>
    <row r="403" ht="33.75" customHeight="1">
      <c r="A403" s="497" t="s">
        <v>861</v>
      </c>
      <c r="B403" s="325">
        <v>88415.0</v>
      </c>
      <c r="C403" s="367" t="s">
        <v>317</v>
      </c>
      <c r="D403" s="528" t="s">
        <v>53</v>
      </c>
      <c r="E403" s="252">
        <v>2.1484</v>
      </c>
      <c r="F403" s="493" t="str">
        <f t="shared" si="64"/>
        <v>105.79</v>
      </c>
      <c r="G403" s="253">
        <v>105.79</v>
      </c>
      <c r="H403" s="181" t="str">
        <f t="shared" si="65"/>
        <v>2.62</v>
      </c>
      <c r="I403" s="272" t="str">
        <f t="shared" si="66"/>
        <v>277.16</v>
      </c>
      <c r="J403" s="496"/>
      <c r="K403" s="496"/>
    </row>
    <row r="404" ht="33.75" customHeight="1">
      <c r="A404" s="174" t="s">
        <v>862</v>
      </c>
      <c r="B404" s="200">
        <v>88489.0</v>
      </c>
      <c r="C404" s="176" t="s">
        <v>309</v>
      </c>
      <c r="D404" s="210" t="s">
        <v>53</v>
      </c>
      <c r="E404" s="252">
        <v>12.2918</v>
      </c>
      <c r="F404" s="493" t="str">
        <f t="shared" si="64"/>
        <v>105.79</v>
      </c>
      <c r="G404" s="253">
        <v>105.79</v>
      </c>
      <c r="H404" s="181" t="str">
        <f t="shared" si="65"/>
        <v>15.02</v>
      </c>
      <c r="I404" s="182" t="str">
        <f t="shared" si="66"/>
        <v>1,588.96</v>
      </c>
      <c r="J404" s="496"/>
      <c r="K404" s="496"/>
    </row>
    <row r="405" ht="14.25" customHeight="1">
      <c r="A405" s="243"/>
      <c r="B405" s="188"/>
      <c r="C405" s="188"/>
      <c r="D405" s="188"/>
      <c r="E405" s="189"/>
      <c r="F405" s="190"/>
      <c r="G405" s="191"/>
      <c r="H405" s="192" t="s">
        <v>47</v>
      </c>
      <c r="I405" s="193" t="str">
        <f>SUM(I372:I404)</f>
        <v>505,229.90</v>
      </c>
      <c r="J405" s="254"/>
      <c r="K405" s="232"/>
    </row>
    <row r="406" ht="18.75" customHeight="1">
      <c r="A406" s="529">
        <v>18.0</v>
      </c>
      <c r="B406" s="530"/>
      <c r="C406" s="531" t="s">
        <v>863</v>
      </c>
      <c r="D406" s="532"/>
      <c r="E406" s="533"/>
      <c r="F406" s="534"/>
      <c r="G406" s="534"/>
      <c r="H406" s="534"/>
      <c r="I406" s="535"/>
      <c r="J406" s="254"/>
      <c r="K406" s="232"/>
    </row>
    <row r="407" ht="20.25" customHeight="1">
      <c r="A407" s="261" t="s">
        <v>864</v>
      </c>
      <c r="B407" s="329" t="s">
        <v>865</v>
      </c>
      <c r="C407" s="536" t="s">
        <v>866</v>
      </c>
      <c r="D407" s="251" t="s">
        <v>46</v>
      </c>
      <c r="E407" s="537">
        <v>10725.6</v>
      </c>
      <c r="F407" s="493" t="str">
        <f t="shared" ref="F407:F420" si="67">IF(OR(E407&lt;=0)," ",TRUNC(G407,2))</f>
        <v>1.00</v>
      </c>
      <c r="G407" s="253">
        <v>1.0</v>
      </c>
      <c r="H407" s="181" t="str">
        <f t="shared" ref="H407:H420" si="68">IF(OR(E407&lt;=0)," ",TRUNC((E407*(1+$I$9)),2))</f>
        <v>13,109.90</v>
      </c>
      <c r="I407" s="182" t="str">
        <f t="shared" ref="I407:I420" si="69">IF(OR(E407&lt;=0)," ",TRUNC((H407*F407),2))</f>
        <v>13,109.90</v>
      </c>
      <c r="J407" s="183" t="str">
        <f>'COMP CIVIL'!F358</f>
        <v>13080.00</v>
      </c>
      <c r="K407" s="538"/>
    </row>
    <row r="408" ht="14.25" customHeight="1">
      <c r="A408" s="261" t="s">
        <v>867</v>
      </c>
      <c r="B408" s="329" t="s">
        <v>868</v>
      </c>
      <c r="C408" s="294" t="s">
        <v>869</v>
      </c>
      <c r="D408" s="251" t="s">
        <v>46</v>
      </c>
      <c r="E408" s="537">
        <v>11044.826</v>
      </c>
      <c r="F408" s="493" t="str">
        <f t="shared" si="67"/>
        <v>1.00</v>
      </c>
      <c r="G408" s="253">
        <v>1.0</v>
      </c>
      <c r="H408" s="181" t="str">
        <f t="shared" si="68"/>
        <v>13,500.09</v>
      </c>
      <c r="I408" s="272" t="str">
        <f t="shared" si="69"/>
        <v>13,500.09</v>
      </c>
      <c r="J408" s="183" t="str">
        <f>'COMP CIVIL'!F376</f>
        <v>13469.30</v>
      </c>
      <c r="K408" s="538"/>
    </row>
    <row r="409" ht="14.25" customHeight="1">
      <c r="A409" s="261" t="s">
        <v>870</v>
      </c>
      <c r="B409" s="329" t="s">
        <v>871</v>
      </c>
      <c r="C409" s="382" t="s">
        <v>872</v>
      </c>
      <c r="D409" s="251" t="s">
        <v>46</v>
      </c>
      <c r="E409" s="537">
        <v>8634.6</v>
      </c>
      <c r="F409" s="493" t="str">
        <f t="shared" si="67"/>
        <v>1.00</v>
      </c>
      <c r="G409" s="253">
        <v>1.0</v>
      </c>
      <c r="H409" s="181" t="str">
        <f t="shared" si="68"/>
        <v>10,554.07</v>
      </c>
      <c r="I409" s="272" t="str">
        <f t="shared" si="69"/>
        <v>10,554.07</v>
      </c>
      <c r="J409" s="183" t="str">
        <f>'COMP CIVIL'!F392</f>
        <v>10530.00</v>
      </c>
      <c r="K409" s="232"/>
    </row>
    <row r="410" ht="47.25" customHeight="1">
      <c r="A410" s="261" t="s">
        <v>873</v>
      </c>
      <c r="B410" s="452">
        <v>92398.0</v>
      </c>
      <c r="C410" s="176" t="s">
        <v>874</v>
      </c>
      <c r="D410" s="539" t="s">
        <v>53</v>
      </c>
      <c r="E410" s="537">
        <v>82.656</v>
      </c>
      <c r="F410" s="493" t="str">
        <f t="shared" si="67"/>
        <v>283.66</v>
      </c>
      <c r="G410" s="253">
        <v>283.66</v>
      </c>
      <c r="H410" s="181" t="str">
        <f t="shared" si="68"/>
        <v>101.03</v>
      </c>
      <c r="I410" s="272" t="str">
        <f t="shared" si="69"/>
        <v>28,658.16</v>
      </c>
      <c r="J410" s="259"/>
      <c r="K410" s="232"/>
    </row>
    <row r="411" ht="47.25" customHeight="1">
      <c r="A411" s="261" t="s">
        <v>875</v>
      </c>
      <c r="B411" s="200">
        <v>94994.0</v>
      </c>
      <c r="C411" s="176" t="s">
        <v>876</v>
      </c>
      <c r="D411" s="540" t="s">
        <v>53</v>
      </c>
      <c r="E411" s="537">
        <v>94.2098</v>
      </c>
      <c r="F411" s="493" t="str">
        <f t="shared" si="67"/>
        <v>890.78</v>
      </c>
      <c r="G411" s="253">
        <v>890.78</v>
      </c>
      <c r="H411" s="181" t="str">
        <f t="shared" si="68"/>
        <v>115.15</v>
      </c>
      <c r="I411" s="272" t="str">
        <f t="shared" si="69"/>
        <v>102,573.31</v>
      </c>
      <c r="J411" s="259"/>
      <c r="K411" s="232"/>
    </row>
    <row r="412" ht="14.25" customHeight="1">
      <c r="A412" s="261" t="s">
        <v>877</v>
      </c>
      <c r="B412" s="200">
        <v>94265.0</v>
      </c>
      <c r="C412" s="176" t="s">
        <v>878</v>
      </c>
      <c r="D412" s="540" t="s">
        <v>69</v>
      </c>
      <c r="E412" s="537">
        <v>40.631</v>
      </c>
      <c r="F412" s="493" t="str">
        <f t="shared" si="67"/>
        <v>8.00</v>
      </c>
      <c r="G412" s="253">
        <v>8.0</v>
      </c>
      <c r="H412" s="181" t="str">
        <f t="shared" si="68"/>
        <v>49.66</v>
      </c>
      <c r="I412" s="182" t="str">
        <f t="shared" si="69"/>
        <v>397.28</v>
      </c>
      <c r="J412" s="259"/>
      <c r="K412" s="232"/>
    </row>
    <row r="413" ht="17.25" customHeight="1">
      <c r="A413" s="261" t="s">
        <v>879</v>
      </c>
      <c r="B413" s="329" t="s">
        <v>880</v>
      </c>
      <c r="C413" s="92" t="s">
        <v>881</v>
      </c>
      <c r="D413" s="541" t="s">
        <v>58</v>
      </c>
      <c r="E413" s="537">
        <v>157.5958</v>
      </c>
      <c r="F413" s="493" t="str">
        <f t="shared" si="67"/>
        <v>7.43</v>
      </c>
      <c r="G413" s="253">
        <v>7.43</v>
      </c>
      <c r="H413" s="181" t="str">
        <f t="shared" si="68"/>
        <v>192.62</v>
      </c>
      <c r="I413" s="272" t="str">
        <f t="shared" si="69"/>
        <v>1,431.16</v>
      </c>
      <c r="J413" s="183" t="str">
        <f>'COMP CIVIL'!F408</f>
        <v>192.19</v>
      </c>
      <c r="K413" s="232" t="s">
        <v>882</v>
      </c>
    </row>
    <row r="414" ht="14.25" customHeight="1">
      <c r="A414" s="261" t="s">
        <v>883</v>
      </c>
      <c r="B414" s="200">
        <v>98504.0</v>
      </c>
      <c r="C414" s="542" t="s">
        <v>884</v>
      </c>
      <c r="D414" s="543" t="s">
        <v>53</v>
      </c>
      <c r="E414" s="537">
        <v>11.9474</v>
      </c>
      <c r="F414" s="493" t="str">
        <f t="shared" si="67"/>
        <v>142.05</v>
      </c>
      <c r="G414" s="253">
        <v>142.05</v>
      </c>
      <c r="H414" s="181" t="str">
        <f t="shared" si="68"/>
        <v>14.60</v>
      </c>
      <c r="I414" s="544" t="str">
        <f t="shared" si="69"/>
        <v>2,073.93</v>
      </c>
      <c r="J414" s="259"/>
      <c r="K414" s="232" t="s">
        <v>885</v>
      </c>
    </row>
    <row r="415" ht="14.25" customHeight="1">
      <c r="A415" s="261" t="s">
        <v>886</v>
      </c>
      <c r="B415" s="200">
        <v>98510.0</v>
      </c>
      <c r="C415" s="176" t="s">
        <v>887</v>
      </c>
      <c r="D415" s="543" t="s">
        <v>46</v>
      </c>
      <c r="E415" s="537">
        <v>84.4846</v>
      </c>
      <c r="F415" s="493" t="str">
        <f t="shared" si="67"/>
        <v>15.00</v>
      </c>
      <c r="G415" s="371">
        <v>15.0</v>
      </c>
      <c r="H415" s="181" t="str">
        <f t="shared" si="68"/>
        <v>103.26</v>
      </c>
      <c r="I415" s="544" t="str">
        <f t="shared" si="69"/>
        <v>1,548.90</v>
      </c>
      <c r="J415" s="259"/>
      <c r="K415" s="285" t="s">
        <v>888</v>
      </c>
    </row>
    <row r="416" ht="14.25" customHeight="1">
      <c r="A416" s="261" t="s">
        <v>889</v>
      </c>
      <c r="B416" s="200">
        <v>98505.0</v>
      </c>
      <c r="C416" s="176" t="s">
        <v>890</v>
      </c>
      <c r="D416" s="540" t="s">
        <v>53</v>
      </c>
      <c r="E416" s="537">
        <v>86.2722</v>
      </c>
      <c r="F416" s="493" t="str">
        <f t="shared" si="67"/>
        <v>15.52</v>
      </c>
      <c r="G416" s="371">
        <v>15.52</v>
      </c>
      <c r="H416" s="181" t="str">
        <f t="shared" si="68"/>
        <v>105.45</v>
      </c>
      <c r="I416" s="544" t="str">
        <f t="shared" si="69"/>
        <v>1,636.58</v>
      </c>
      <c r="J416" s="259"/>
      <c r="K416" s="232" t="s">
        <v>891</v>
      </c>
    </row>
    <row r="417" ht="30.75" customHeight="1">
      <c r="A417" s="261" t="s">
        <v>892</v>
      </c>
      <c r="B417" s="200">
        <v>101094.0</v>
      </c>
      <c r="C417" s="176" t="s">
        <v>893</v>
      </c>
      <c r="D417" s="351" t="s">
        <v>69</v>
      </c>
      <c r="E417" s="537">
        <v>181.1954</v>
      </c>
      <c r="F417" s="493" t="str">
        <f t="shared" si="67"/>
        <v>226.75</v>
      </c>
      <c r="G417" s="371">
        <v>226.75</v>
      </c>
      <c r="H417" s="181" t="str">
        <f t="shared" si="68"/>
        <v>221.47</v>
      </c>
      <c r="I417" s="544" t="str">
        <f t="shared" si="69"/>
        <v>50,218.32</v>
      </c>
      <c r="J417" s="259"/>
      <c r="K417" s="92" t="s">
        <v>894</v>
      </c>
    </row>
    <row r="418" ht="32.25" customHeight="1">
      <c r="A418" s="261" t="s">
        <v>895</v>
      </c>
      <c r="B418" s="200">
        <v>102513.0</v>
      </c>
      <c r="C418" s="176" t="s">
        <v>896</v>
      </c>
      <c r="D418" s="541" t="s">
        <v>53</v>
      </c>
      <c r="E418" s="537">
        <v>34.8418</v>
      </c>
      <c r="F418" s="493" t="str">
        <f t="shared" si="67"/>
        <v>5.78</v>
      </c>
      <c r="G418" s="253">
        <v>5.78</v>
      </c>
      <c r="H418" s="181" t="str">
        <f t="shared" si="68"/>
        <v>42.58</v>
      </c>
      <c r="I418" s="544" t="str">
        <f t="shared" si="69"/>
        <v>246.11</v>
      </c>
      <c r="J418" s="259"/>
      <c r="K418" s="232"/>
    </row>
    <row r="419" ht="31.5" customHeight="1">
      <c r="A419" s="261" t="s">
        <v>897</v>
      </c>
      <c r="B419" s="200">
        <v>102500.0</v>
      </c>
      <c r="C419" s="176" t="s">
        <v>898</v>
      </c>
      <c r="D419" s="351" t="s">
        <v>69</v>
      </c>
      <c r="E419" s="537">
        <v>3.2636000000000003</v>
      </c>
      <c r="F419" s="493" t="str">
        <f t="shared" si="67"/>
        <v>150.49</v>
      </c>
      <c r="G419" s="253">
        <v>150.49</v>
      </c>
      <c r="H419" s="181" t="str">
        <f t="shared" si="68"/>
        <v>3.98</v>
      </c>
      <c r="I419" s="544" t="str">
        <f t="shared" si="69"/>
        <v>598.95</v>
      </c>
      <c r="J419" s="259"/>
      <c r="K419" s="232"/>
    </row>
    <row r="420" ht="18.75" customHeight="1">
      <c r="A420" s="261" t="s">
        <v>899</v>
      </c>
      <c r="B420" s="251" t="s">
        <v>900</v>
      </c>
      <c r="C420" s="176" t="s">
        <v>901</v>
      </c>
      <c r="D420" s="251" t="s">
        <v>46</v>
      </c>
      <c r="E420" s="537">
        <v>994.619</v>
      </c>
      <c r="F420" s="493" t="str">
        <f t="shared" si="67"/>
        <v>1.00</v>
      </c>
      <c r="G420" s="253">
        <v>1.0</v>
      </c>
      <c r="H420" s="181" t="str">
        <f t="shared" si="68"/>
        <v>1,215.72</v>
      </c>
      <c r="I420" s="544" t="str">
        <f t="shared" si="69"/>
        <v>1,215.72</v>
      </c>
      <c r="J420" s="183" t="str">
        <f>'COMP CIVIL'!F503</f>
        <v>1212.95</v>
      </c>
      <c r="K420" s="232"/>
    </row>
    <row r="421" ht="14.25" customHeight="1">
      <c r="A421" s="286"/>
      <c r="B421" s="287"/>
      <c r="C421" s="288"/>
      <c r="D421" s="287"/>
      <c r="E421" s="289"/>
      <c r="F421" s="290"/>
      <c r="G421" s="291"/>
      <c r="H421" s="337" t="s">
        <v>47</v>
      </c>
      <c r="I421" s="193" t="str">
        <f>TRUNC(SUM(I407:I420),2)</f>
        <v>227,762.48</v>
      </c>
      <c r="J421" s="254"/>
      <c r="K421" s="232"/>
    </row>
    <row r="422" ht="18.0" customHeight="1">
      <c r="A422" s="545">
        <v>19.0</v>
      </c>
      <c r="B422" s="546"/>
      <c r="C422" s="547" t="s">
        <v>902</v>
      </c>
      <c r="D422" s="548"/>
      <c r="E422" s="549"/>
      <c r="F422" s="550" t="str">
        <f t="shared" ref="F422:F425" si="70">IF(OR(E422&lt;=0)," ",TRUNC(G422,2))</f>
        <v> </v>
      </c>
      <c r="G422" s="550"/>
      <c r="H422" s="550" t="str">
        <f t="shared" ref="H422:H425" si="71">IF(OR(E422&lt;=0)," ",TRUNC((E422*(1+$I$9)),2))</f>
        <v> </v>
      </c>
      <c r="I422" s="551" t="str">
        <f t="shared" ref="I422:I425" si="72">IF(OR(E422&lt;=0)," ",TRUNC((H422*F422),2))</f>
        <v> </v>
      </c>
      <c r="J422" s="254"/>
      <c r="K422" s="232"/>
    </row>
    <row r="423" ht="33.0" customHeight="1">
      <c r="A423" s="261" t="s">
        <v>903</v>
      </c>
      <c r="B423" s="419">
        <v>99803.0</v>
      </c>
      <c r="C423" s="221" t="s">
        <v>904</v>
      </c>
      <c r="D423" s="543" t="s">
        <v>53</v>
      </c>
      <c r="E423" s="537">
        <v>1.5415999999999999</v>
      </c>
      <c r="F423" s="269" t="str">
        <f t="shared" si="70"/>
        <v>246.05</v>
      </c>
      <c r="G423" s="494">
        <v>246.05</v>
      </c>
      <c r="H423" s="271" t="str">
        <f t="shared" si="71"/>
        <v>1.88</v>
      </c>
      <c r="I423" s="272" t="str">
        <f t="shared" si="72"/>
        <v>462.57</v>
      </c>
      <c r="J423" s="254"/>
      <c r="K423" s="300"/>
    </row>
    <row r="424" ht="31.5" customHeight="1">
      <c r="A424" s="261" t="s">
        <v>905</v>
      </c>
      <c r="B424" s="419">
        <v>99806.0</v>
      </c>
      <c r="C424" s="176" t="s">
        <v>906</v>
      </c>
      <c r="D424" s="543" t="s">
        <v>53</v>
      </c>
      <c r="E424" s="537">
        <v>0.6314</v>
      </c>
      <c r="F424" s="269" t="str">
        <f t="shared" si="70"/>
        <v>98.67</v>
      </c>
      <c r="G424" s="494">
        <v>98.67</v>
      </c>
      <c r="H424" s="271" t="str">
        <f t="shared" si="71"/>
        <v>0.77</v>
      </c>
      <c r="I424" s="272" t="str">
        <f t="shared" si="72"/>
        <v>75.97</v>
      </c>
      <c r="J424" s="552"/>
      <c r="K424" s="300"/>
    </row>
    <row r="425" ht="20.25" customHeight="1">
      <c r="A425" s="261" t="s">
        <v>907</v>
      </c>
      <c r="B425" s="419">
        <v>99814.0</v>
      </c>
      <c r="C425" s="176" t="s">
        <v>908</v>
      </c>
      <c r="D425" s="543" t="s">
        <v>53</v>
      </c>
      <c r="E425" s="537">
        <v>1.476</v>
      </c>
      <c r="F425" s="269" t="str">
        <f t="shared" si="70"/>
        <v>890.78</v>
      </c>
      <c r="G425" s="494">
        <v>890.78</v>
      </c>
      <c r="H425" s="271" t="str">
        <f t="shared" si="71"/>
        <v>1.80</v>
      </c>
      <c r="I425" s="272" t="str">
        <f t="shared" si="72"/>
        <v>1,603.40</v>
      </c>
      <c r="J425" s="206"/>
      <c r="K425" s="206" t="s">
        <v>909</v>
      </c>
    </row>
    <row r="426" ht="14.25" customHeight="1">
      <c r="A426" s="243"/>
      <c r="B426" s="188"/>
      <c r="C426" s="188"/>
      <c r="D426" s="188"/>
      <c r="E426" s="189"/>
      <c r="F426" s="190"/>
      <c r="G426" s="191"/>
      <c r="H426" s="192" t="s">
        <v>47</v>
      </c>
      <c r="I426" s="193" t="str">
        <f>TRUNC(SUM(I423:I425),2)</f>
        <v>2,141.94</v>
      </c>
      <c r="J426" s="254"/>
      <c r="K426" t="s">
        <v>910</v>
      </c>
    </row>
    <row r="427" ht="14.25" customHeight="1">
      <c r="A427" s="553"/>
      <c r="B427" s="554" t="s">
        <v>18</v>
      </c>
      <c r="C427" s="107"/>
      <c r="D427" s="107"/>
      <c r="E427" s="107"/>
      <c r="F427" s="107"/>
      <c r="G427" s="107"/>
      <c r="H427" s="555"/>
      <c r="I427" s="556" t="str">
        <f>TRUNC((I16+I32+I37+I92+I102+I111+I123+I140+I154+I161+I164+I217+I247+I256+I288+I305+I334+I347+I361+I369+I405+I421+I426),2)</f>
        <v>1,767,160.46</v>
      </c>
      <c r="J427" s="557"/>
      <c r="K427" s="558" t="str">
        <f>SUM(I15:I426)/2</f>
        <v>R$ 1,767,160.46</v>
      </c>
    </row>
    <row r="428" ht="14.25" customHeight="1">
      <c r="A428" s="559"/>
      <c r="B428" s="560" t="s">
        <v>911</v>
      </c>
      <c r="C428" s="561"/>
      <c r="D428" s="41"/>
      <c r="E428" s="123">
        <v>1767160.46</v>
      </c>
      <c r="F428" s="561"/>
      <c r="G428" s="561"/>
      <c r="H428" s="41"/>
      <c r="I428" s="562"/>
      <c r="J428" s="254"/>
      <c r="K428" s="232"/>
    </row>
    <row r="429" ht="14.25" customHeight="1">
      <c r="A429" s="563"/>
      <c r="B429" s="564" t="s">
        <v>912</v>
      </c>
      <c r="C429" s="127"/>
      <c r="D429" s="127"/>
      <c r="E429" s="127"/>
      <c r="F429" s="127"/>
      <c r="G429" s="127"/>
      <c r="H429" s="127"/>
      <c r="I429" s="128"/>
      <c r="J429" s="565"/>
    </row>
    <row r="430" ht="6.0" customHeight="1">
      <c r="A430" s="158"/>
      <c r="J430" s="254"/>
    </row>
    <row r="431" ht="14.25" customHeight="1"/>
    <row r="432" ht="14.25" customHeight="1"/>
    <row r="433" ht="14.25" customHeight="1"/>
    <row r="434" ht="14.25" customHeight="1">
      <c r="C434" s="566"/>
      <c r="J434" s="567"/>
      <c r="K434" s="567"/>
    </row>
    <row r="435" ht="14.25" customHeight="1"/>
    <row r="436" ht="14.25" customHeight="1">
      <c r="H436" s="567"/>
    </row>
  </sheetData>
  <mergeCells count="16">
    <mergeCell ref="B429:I429"/>
    <mergeCell ref="B427:H427"/>
    <mergeCell ref="B428:D428"/>
    <mergeCell ref="E428:H428"/>
    <mergeCell ref="B7:C7"/>
    <mergeCell ref="B8:C8"/>
    <mergeCell ref="C3:F3"/>
    <mergeCell ref="C4:F4"/>
    <mergeCell ref="C5:F5"/>
    <mergeCell ref="M21:O21"/>
    <mergeCell ref="K357:L357"/>
    <mergeCell ref="K224:L224"/>
    <mergeCell ref="K21:L21"/>
    <mergeCell ref="K425:L425"/>
    <mergeCell ref="B9:C9"/>
    <mergeCell ref="B10:C10"/>
  </mergeCells>
  <printOptions horizontalCentered="1"/>
  <pageMargins bottom="0.7874015748031497" footer="0.0" header="0.0" left="0.5118110236220472" right="0.5118110236220472" top="0.7874015748031497"/>
  <pageSetup paperSize="9" scale="75"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86"/>
    <col customWidth="1" min="2" max="2" width="60.14"/>
    <col customWidth="1" min="3" max="3" width="10.0"/>
    <col customWidth="1" min="4" max="4" width="9.29"/>
    <col customWidth="1" min="5" max="5" width="11.14"/>
    <col customWidth="1" min="6" max="6" width="21.71"/>
    <col customWidth="1" min="7" max="7" width="14.14"/>
    <col customWidth="1" min="8" max="8" width="18.0"/>
    <col customWidth="1" min="9" max="9" width="30.57"/>
    <col customWidth="1" min="10" max="10" width="11.14"/>
    <col customWidth="1" min="11" max="11" width="10.43"/>
  </cols>
  <sheetData>
    <row r="1" ht="14.25" customHeight="1">
      <c r="A1" s="568"/>
      <c r="B1" s="569"/>
      <c r="C1" s="569"/>
      <c r="D1" s="569"/>
      <c r="E1" s="569"/>
      <c r="F1" s="570"/>
    </row>
    <row r="2" ht="14.25" customHeight="1">
      <c r="A2" s="158"/>
      <c r="F2" s="159"/>
    </row>
    <row r="3" ht="14.25" customHeight="1">
      <c r="A3" s="158"/>
      <c r="B3" s="82" t="s">
        <v>913</v>
      </c>
      <c r="F3" s="571"/>
    </row>
    <row r="4" ht="14.25" customHeight="1">
      <c r="A4" s="158"/>
      <c r="B4" s="82" t="s">
        <v>914</v>
      </c>
      <c r="F4" s="571"/>
    </row>
    <row r="5" ht="14.25" customHeight="1">
      <c r="A5" s="158"/>
      <c r="B5" s="572" t="s">
        <v>915</v>
      </c>
      <c r="F5" s="571"/>
    </row>
    <row r="6" ht="14.25" customHeight="1">
      <c r="A6" s="573"/>
      <c r="B6" s="574"/>
      <c r="C6" s="574"/>
      <c r="D6" s="574"/>
      <c r="E6" s="574"/>
      <c r="F6" s="575"/>
    </row>
    <row r="7" ht="5.25" customHeight="1"/>
    <row r="8" ht="14.25" customHeight="1">
      <c r="A8" s="576" t="s">
        <v>0</v>
      </c>
      <c r="B8" s="577" t="str">
        <f>'PLANILHA SEM DESON'!B7:C7</f>
        <v>SEMA-PRO-2022/00145</v>
      </c>
      <c r="C8" s="578"/>
      <c r="D8" s="569"/>
      <c r="E8" s="579" t="s">
        <v>916</v>
      </c>
      <c r="F8" s="580" t="str">
        <f>'PLANILHA SEM DESON'!I10</f>
        <v>11/30/2022</v>
      </c>
    </row>
    <row r="9" ht="14.25" customHeight="1">
      <c r="A9" s="581" t="s">
        <v>21</v>
      </c>
      <c r="B9" s="335" t="str">
        <f>'PLANILHA SEM DESON'!B8:C8</f>
        <v>CONSTRUÇÃO DE DIRETORIA DE UNIDADE DESCONCENTRADA DA SEMA - DUDS</v>
      </c>
      <c r="C9" s="582"/>
      <c r="F9" s="159"/>
    </row>
    <row r="10" ht="14.25" customHeight="1">
      <c r="A10" s="581" t="s">
        <v>23</v>
      </c>
      <c r="B10" s="335" t="str">
        <f>'PLANILHA SEM DESON'!B9</f>
        <v>Rua Erichin, esquina com Rua Circular - Bairro Residencial Arco Íris</v>
      </c>
      <c r="C10" s="582"/>
      <c r="F10" s="159"/>
    </row>
    <row r="11" ht="14.25" customHeight="1">
      <c r="A11" s="581" t="s">
        <v>26</v>
      </c>
      <c r="B11" s="335" t="str">
        <f>'PLANILHA SEM DESON'!B10:C10</f>
        <v>CONFRESA - MT</v>
      </c>
      <c r="C11" s="582"/>
      <c r="F11" s="159"/>
    </row>
    <row r="12" ht="14.25" customHeight="1">
      <c r="A12" s="583" t="s">
        <v>29</v>
      </c>
      <c r="B12" s="584" t="str">
        <f>'PLANILHA SEM DESON'!B11</f>
        <v>CONSTRUÇÃO </v>
      </c>
      <c r="C12" s="585"/>
      <c r="D12" s="574"/>
      <c r="E12" s="574"/>
      <c r="F12" s="575"/>
    </row>
    <row r="13" ht="3.75" customHeight="1"/>
    <row r="14" ht="14.25" customHeight="1">
      <c r="A14" s="586" t="s">
        <v>917</v>
      </c>
      <c r="B14" s="28"/>
      <c r="C14" s="28"/>
      <c r="D14" s="28"/>
      <c r="E14" s="28"/>
      <c r="F14" s="29"/>
    </row>
    <row r="15" ht="14.25" customHeight="1">
      <c r="A15" s="587" t="s">
        <v>44</v>
      </c>
      <c r="B15" s="588" t="s">
        <v>45</v>
      </c>
      <c r="C15" s="589" t="s">
        <v>46</v>
      </c>
      <c r="D15" s="590"/>
      <c r="E15" s="591"/>
      <c r="F15" s="592"/>
    </row>
    <row r="16" ht="14.25" customHeight="1">
      <c r="A16" s="593"/>
      <c r="B16" s="594" t="s">
        <v>918</v>
      </c>
      <c r="C16" s="595" t="s">
        <v>919</v>
      </c>
      <c r="D16" s="596" t="s">
        <v>920</v>
      </c>
      <c r="E16" s="597" t="s">
        <v>921</v>
      </c>
      <c r="F16" s="598" t="s">
        <v>922</v>
      </c>
    </row>
    <row r="17" ht="20.25" customHeight="1">
      <c r="A17" s="599">
        <v>90776.0</v>
      </c>
      <c r="B17" s="600" t="s">
        <v>923</v>
      </c>
      <c r="C17" s="601" t="s">
        <v>924</v>
      </c>
      <c r="D17" s="602">
        <v>704.0</v>
      </c>
      <c r="E17" s="175">
        <v>28.39</v>
      </c>
      <c r="F17" s="603" t="str">
        <f t="shared" ref="F17:F19" si="1">TRUNC((D17*E17),2)</f>
        <v>19,986.56</v>
      </c>
      <c r="G17" s="348"/>
    </row>
    <row r="18" ht="20.25" customHeight="1">
      <c r="A18" s="599">
        <v>8832624.65</v>
      </c>
      <c r="B18" s="604" t="s">
        <v>925</v>
      </c>
      <c r="C18" s="601" t="s">
        <v>924</v>
      </c>
      <c r="D18" s="602">
        <v>1440.0</v>
      </c>
      <c r="E18" s="175">
        <v>24.65</v>
      </c>
      <c r="F18" s="603" t="str">
        <f t="shared" si="1"/>
        <v>35,496.00</v>
      </c>
      <c r="G18" s="348"/>
    </row>
    <row r="19" ht="14.25" customHeight="1">
      <c r="A19" s="599">
        <v>90777.0</v>
      </c>
      <c r="B19" s="600" t="s">
        <v>926</v>
      </c>
      <c r="C19" s="601" t="s">
        <v>924</v>
      </c>
      <c r="D19" s="602">
        <v>240.0</v>
      </c>
      <c r="E19" s="605">
        <v>103.16</v>
      </c>
      <c r="F19" s="603" t="str">
        <f t="shared" si="1"/>
        <v>24,758.40</v>
      </c>
    </row>
    <row r="20" ht="14.25" customHeight="1">
      <c r="A20" s="606"/>
      <c r="B20" s="220"/>
      <c r="C20" s="607" t="s">
        <v>910</v>
      </c>
      <c r="D20" s="608" t="s">
        <v>910</v>
      </c>
      <c r="E20" s="609" t="s">
        <v>927</v>
      </c>
      <c r="F20" s="610" t="str">
        <f>SUM(F17:F19)</f>
        <v>80,240.96</v>
      </c>
    </row>
    <row r="21" ht="14.25" customHeight="1">
      <c r="A21" s="611"/>
      <c r="B21" s="612" t="s">
        <v>928</v>
      </c>
      <c r="C21" s="613"/>
      <c r="D21" s="613"/>
      <c r="E21" s="614"/>
      <c r="F21" s="615" t="str">
        <f>F20</f>
        <v>80,240.96</v>
      </c>
    </row>
    <row r="22" ht="16.5" customHeight="1">
      <c r="A22" s="616"/>
      <c r="B22" s="617" t="s">
        <v>929</v>
      </c>
      <c r="C22" s="28"/>
      <c r="D22" s="28"/>
      <c r="E22" s="618"/>
      <c r="F22" s="619"/>
    </row>
    <row r="23" ht="37.5" customHeight="1">
      <c r="A23" s="620"/>
      <c r="B23" s="621" t="s">
        <v>930</v>
      </c>
      <c r="C23" s="28"/>
      <c r="D23" s="28"/>
      <c r="E23" s="28"/>
      <c r="F23" s="622"/>
      <c r="I23" s="623" t="s">
        <v>931</v>
      </c>
    </row>
    <row r="24" ht="16.5" customHeight="1">
      <c r="A24" s="624"/>
      <c r="B24" s="624"/>
      <c r="C24" s="624"/>
      <c r="D24" s="624"/>
      <c r="E24" s="624"/>
      <c r="F24" s="624"/>
    </row>
    <row r="25" ht="16.5" customHeight="1">
      <c r="A25" s="587" t="s">
        <v>51</v>
      </c>
      <c r="B25" s="625" t="s">
        <v>932</v>
      </c>
      <c r="C25" s="589" t="s">
        <v>53</v>
      </c>
      <c r="D25" s="590"/>
      <c r="E25" s="591"/>
      <c r="F25" s="626"/>
    </row>
    <row r="26" ht="16.5" customHeight="1">
      <c r="A26" s="627" t="s">
        <v>933</v>
      </c>
      <c r="B26" s="561"/>
      <c r="C26" s="561"/>
      <c r="D26" s="561"/>
      <c r="E26" s="561"/>
      <c r="F26" s="124"/>
    </row>
    <row r="27" ht="28.5" customHeight="1">
      <c r="A27" s="628"/>
      <c r="B27" s="629" t="s">
        <v>918</v>
      </c>
      <c r="C27" s="630" t="s">
        <v>919</v>
      </c>
      <c r="D27" s="631" t="s">
        <v>920</v>
      </c>
      <c r="E27" s="632" t="s">
        <v>921</v>
      </c>
      <c r="F27" s="633" t="s">
        <v>922</v>
      </c>
    </row>
    <row r="28" ht="27.75" customHeight="1">
      <c r="A28" s="634">
        <v>88262.0</v>
      </c>
      <c r="B28" s="635" t="s">
        <v>934</v>
      </c>
      <c r="C28" s="334" t="s">
        <v>924</v>
      </c>
      <c r="D28" s="636">
        <v>1.0</v>
      </c>
      <c r="E28" s="605">
        <v>24.32</v>
      </c>
      <c r="F28" s="637" t="str">
        <f t="shared" ref="F28:F29" si="2">TRUNC((D28*E28),2)</f>
        <v>24.32</v>
      </c>
    </row>
    <row r="29" ht="16.5" customHeight="1">
      <c r="A29" s="634">
        <v>88316.0</v>
      </c>
      <c r="B29" s="635" t="s">
        <v>935</v>
      </c>
      <c r="C29" s="334" t="s">
        <v>924</v>
      </c>
      <c r="D29" s="636">
        <v>2.0</v>
      </c>
      <c r="E29" s="605">
        <v>19.45</v>
      </c>
      <c r="F29" s="637" t="str">
        <f t="shared" si="2"/>
        <v>38.90</v>
      </c>
    </row>
    <row r="30" ht="16.5" customHeight="1">
      <c r="A30" s="497"/>
      <c r="B30" s="638"/>
      <c r="C30" s="639" t="s">
        <v>910</v>
      </c>
      <c r="D30" s="640" t="s">
        <v>910</v>
      </c>
      <c r="E30" s="609" t="s">
        <v>927</v>
      </c>
      <c r="F30" s="641" t="str">
        <f>SUM(F28:F29)</f>
        <v>63.22</v>
      </c>
    </row>
    <row r="31" ht="30.75" customHeight="1">
      <c r="A31" s="497"/>
      <c r="B31" s="642" t="s">
        <v>936</v>
      </c>
      <c r="C31" s="643" t="s">
        <v>919</v>
      </c>
      <c r="D31" s="644" t="s">
        <v>920</v>
      </c>
      <c r="E31" s="597" t="s">
        <v>921</v>
      </c>
      <c r="F31" s="641" t="s">
        <v>922</v>
      </c>
    </row>
    <row r="32" ht="40.5" customHeight="1">
      <c r="A32" s="645">
        <v>94962.0</v>
      </c>
      <c r="B32" s="635" t="s">
        <v>937</v>
      </c>
      <c r="C32" s="334" t="s">
        <v>58</v>
      </c>
      <c r="D32" s="636">
        <v>0.01</v>
      </c>
      <c r="E32" s="636">
        <v>438.71</v>
      </c>
      <c r="F32" s="637" t="str">
        <f t="shared" ref="F32:F36" si="3">TRUNC((D32*E32),2)</f>
        <v>4.38</v>
      </c>
    </row>
    <row r="33" ht="25.5" customHeight="1">
      <c r="A33" s="645">
        <v>4417.0</v>
      </c>
      <c r="B33" s="635" t="s">
        <v>938</v>
      </c>
      <c r="C33" s="334" t="s">
        <v>69</v>
      </c>
      <c r="D33" s="636">
        <v>1.0</v>
      </c>
      <c r="E33" s="636">
        <v>6.93</v>
      </c>
      <c r="F33" s="637" t="str">
        <f t="shared" si="3"/>
        <v>6.93</v>
      </c>
    </row>
    <row r="34" ht="25.5" customHeight="1">
      <c r="A34" s="645">
        <v>4491.0</v>
      </c>
      <c r="B34" s="635" t="s">
        <v>939</v>
      </c>
      <c r="C34" s="334" t="s">
        <v>69</v>
      </c>
      <c r="D34" s="636">
        <v>4.0</v>
      </c>
      <c r="E34" s="636">
        <v>11.67</v>
      </c>
      <c r="F34" s="637" t="str">
        <f t="shared" si="3"/>
        <v>46.68</v>
      </c>
    </row>
    <row r="35" ht="25.5" customHeight="1">
      <c r="A35" s="645">
        <v>4813.0</v>
      </c>
      <c r="B35" s="635" t="s">
        <v>940</v>
      </c>
      <c r="C35" s="334" t="s">
        <v>53</v>
      </c>
      <c r="D35" s="636">
        <v>1.0</v>
      </c>
      <c r="E35" s="636">
        <v>400.0</v>
      </c>
      <c r="F35" s="637" t="str">
        <f t="shared" si="3"/>
        <v>400.00</v>
      </c>
    </row>
    <row r="36" ht="21.0" customHeight="1">
      <c r="A36" s="646">
        <v>5075.0</v>
      </c>
      <c r="B36" s="647" t="s">
        <v>941</v>
      </c>
      <c r="C36" s="276" t="s">
        <v>107</v>
      </c>
      <c r="D36" s="648">
        <v>0.11</v>
      </c>
      <c r="E36" s="648">
        <v>25.89</v>
      </c>
      <c r="F36" s="649" t="str">
        <f t="shared" si="3"/>
        <v>2.84</v>
      </c>
    </row>
    <row r="37" ht="16.5" customHeight="1">
      <c r="A37" s="650"/>
      <c r="B37" s="651"/>
      <c r="C37" s="652"/>
      <c r="D37" s="653"/>
      <c r="E37" s="654" t="s">
        <v>927</v>
      </c>
      <c r="F37" s="655" t="str">
        <f>SUM(F32:F36)</f>
        <v>460.83</v>
      </c>
    </row>
    <row r="38" ht="16.5" customHeight="1">
      <c r="A38" s="611"/>
      <c r="B38" s="656" t="s">
        <v>928</v>
      </c>
      <c r="C38" s="613"/>
      <c r="D38" s="613"/>
      <c r="E38" s="614"/>
      <c r="F38" s="615" t="str">
        <f>F30+F37</f>
        <v>524.05</v>
      </c>
    </row>
    <row r="39" ht="16.5" customHeight="1">
      <c r="A39" s="624"/>
      <c r="B39" s="624"/>
      <c r="C39" s="624"/>
      <c r="D39" s="624"/>
      <c r="E39" s="624"/>
      <c r="F39" s="624"/>
    </row>
    <row r="40" ht="30.75" customHeight="1">
      <c r="A40" s="657" t="s">
        <v>71</v>
      </c>
      <c r="B40" s="658" t="s">
        <v>942</v>
      </c>
      <c r="C40" s="589" t="s">
        <v>46</v>
      </c>
      <c r="D40" s="590"/>
      <c r="E40" s="590"/>
      <c r="F40" s="659"/>
    </row>
    <row r="41" ht="16.5" customHeight="1">
      <c r="A41" s="627" t="s">
        <v>943</v>
      </c>
      <c r="B41" s="561"/>
      <c r="C41" s="561"/>
      <c r="D41" s="561"/>
      <c r="E41" s="561"/>
      <c r="F41" s="124"/>
    </row>
    <row r="42" ht="30.0" customHeight="1">
      <c r="A42" s="660"/>
      <c r="B42" s="661" t="s">
        <v>918</v>
      </c>
      <c r="C42" s="595" t="s">
        <v>919</v>
      </c>
      <c r="D42" s="596" t="s">
        <v>920</v>
      </c>
      <c r="E42" s="632" t="s">
        <v>921</v>
      </c>
      <c r="F42" s="662" t="s">
        <v>922</v>
      </c>
    </row>
    <row r="43" ht="17.25" customHeight="1">
      <c r="A43" s="663">
        <v>88264.0</v>
      </c>
      <c r="B43" s="664" t="s">
        <v>944</v>
      </c>
      <c r="C43" s="601" t="s">
        <v>924</v>
      </c>
      <c r="D43" s="665">
        <v>8.0</v>
      </c>
      <c r="E43" s="636">
        <v>25.54</v>
      </c>
      <c r="F43" s="666" t="str">
        <f t="shared" ref="F43:F44" si="4">TRUNC((D43*E43),2)</f>
        <v>204.32</v>
      </c>
    </row>
    <row r="44" ht="16.5" customHeight="1">
      <c r="A44" s="667">
        <v>88316.0</v>
      </c>
      <c r="B44" s="335" t="s">
        <v>935</v>
      </c>
      <c r="C44" s="601" t="s">
        <v>924</v>
      </c>
      <c r="D44" s="665">
        <v>8.0</v>
      </c>
      <c r="E44" s="605">
        <v>19.45</v>
      </c>
      <c r="F44" s="666" t="str">
        <f t="shared" si="4"/>
        <v>155.60</v>
      </c>
    </row>
    <row r="45" ht="16.5" customHeight="1">
      <c r="A45" s="668"/>
      <c r="B45" s="669"/>
      <c r="C45" s="607" t="s">
        <v>910</v>
      </c>
      <c r="D45" s="608" t="s">
        <v>910</v>
      </c>
      <c r="E45" s="608"/>
      <c r="F45" s="670" t="str">
        <f>SUM(F43:F44)</f>
        <v>359.92</v>
      </c>
    </row>
    <row r="46" ht="30.75" customHeight="1">
      <c r="A46" s="668"/>
      <c r="B46" s="661" t="s">
        <v>936</v>
      </c>
      <c r="C46" s="595" t="s">
        <v>919</v>
      </c>
      <c r="D46" s="596" t="s">
        <v>920</v>
      </c>
      <c r="E46" s="632" t="s">
        <v>921</v>
      </c>
      <c r="F46" s="662" t="s">
        <v>922</v>
      </c>
    </row>
    <row r="47" ht="26.25" customHeight="1">
      <c r="A47" s="663">
        <v>406.0</v>
      </c>
      <c r="B47" s="635" t="s">
        <v>945</v>
      </c>
      <c r="C47" s="601" t="s">
        <v>46</v>
      </c>
      <c r="D47" s="671">
        <v>0.1333333</v>
      </c>
      <c r="E47" s="636">
        <v>109.18</v>
      </c>
      <c r="F47" s="666" t="str">
        <f t="shared" ref="F47:F63" si="5">TRUNC((D47*E47),2)</f>
        <v>14.55</v>
      </c>
    </row>
    <row r="48" ht="24.0" customHeight="1">
      <c r="A48" s="663">
        <v>420.0</v>
      </c>
      <c r="B48" s="672" t="s">
        <v>946</v>
      </c>
      <c r="C48" s="601" t="s">
        <v>46</v>
      </c>
      <c r="D48" s="673">
        <v>2.0</v>
      </c>
      <c r="E48" s="636">
        <v>42.08</v>
      </c>
      <c r="F48" s="666" t="str">
        <f t="shared" si="5"/>
        <v>84.16</v>
      </c>
    </row>
    <row r="49" ht="16.5" customHeight="1">
      <c r="A49" s="663">
        <v>857.0</v>
      </c>
      <c r="B49" s="635" t="s">
        <v>947</v>
      </c>
      <c r="C49" s="601" t="s">
        <v>69</v>
      </c>
      <c r="D49" s="673">
        <v>3.0</v>
      </c>
      <c r="E49" s="636">
        <v>16.92</v>
      </c>
      <c r="F49" s="666" t="str">
        <f t="shared" si="5"/>
        <v>50.76</v>
      </c>
    </row>
    <row r="50" ht="24.0" customHeight="1">
      <c r="A50" s="663">
        <v>937.0</v>
      </c>
      <c r="B50" s="635" t="s">
        <v>948</v>
      </c>
      <c r="C50" s="601" t="s">
        <v>69</v>
      </c>
      <c r="D50" s="673">
        <v>27.0</v>
      </c>
      <c r="E50" s="636">
        <v>8.64</v>
      </c>
      <c r="F50" s="666" t="str">
        <f t="shared" si="5"/>
        <v>233.28</v>
      </c>
    </row>
    <row r="51" ht="39.75" customHeight="1">
      <c r="A51" s="663">
        <v>1062.0</v>
      </c>
      <c r="B51" s="635" t="s">
        <v>949</v>
      </c>
      <c r="C51" s="601" t="s">
        <v>46</v>
      </c>
      <c r="D51" s="673">
        <v>1.0</v>
      </c>
      <c r="E51" s="636">
        <v>350.88</v>
      </c>
      <c r="F51" s="666" t="str">
        <f t="shared" si="5"/>
        <v>350.88</v>
      </c>
    </row>
    <row r="52" ht="24.0" customHeight="1">
      <c r="A52" s="663">
        <v>1096.0</v>
      </c>
      <c r="B52" s="635" t="s">
        <v>950</v>
      </c>
      <c r="C52" s="601" t="s">
        <v>46</v>
      </c>
      <c r="D52" s="673">
        <v>2.0</v>
      </c>
      <c r="E52" s="636">
        <v>139.65</v>
      </c>
      <c r="F52" s="666" t="str">
        <f t="shared" si="5"/>
        <v>279.30</v>
      </c>
    </row>
    <row r="53" ht="24.0" customHeight="1">
      <c r="A53" s="663">
        <v>1539.0</v>
      </c>
      <c r="B53" s="635" t="s">
        <v>951</v>
      </c>
      <c r="C53" s="601" t="s">
        <v>46</v>
      </c>
      <c r="D53" s="673">
        <v>8.0</v>
      </c>
      <c r="E53" s="636">
        <v>7.41</v>
      </c>
      <c r="F53" s="666" t="str">
        <f t="shared" si="5"/>
        <v>59.28</v>
      </c>
    </row>
    <row r="54" ht="17.25" customHeight="1">
      <c r="A54" s="663">
        <v>1892.0</v>
      </c>
      <c r="B54" s="635" t="s">
        <v>952</v>
      </c>
      <c r="C54" s="601" t="s">
        <v>46</v>
      </c>
      <c r="D54" s="673">
        <v>4.0</v>
      </c>
      <c r="E54" s="636">
        <v>1.73</v>
      </c>
      <c r="F54" s="666" t="str">
        <f t="shared" si="5"/>
        <v>6.92</v>
      </c>
    </row>
    <row r="55" ht="24.0" customHeight="1">
      <c r="A55" s="663">
        <v>2392.0</v>
      </c>
      <c r="B55" s="635" t="s">
        <v>953</v>
      </c>
      <c r="C55" s="601" t="s">
        <v>46</v>
      </c>
      <c r="D55" s="673">
        <v>1.0</v>
      </c>
      <c r="E55" s="636">
        <v>87.2</v>
      </c>
      <c r="F55" s="666" t="str">
        <f t="shared" si="5"/>
        <v>87.20</v>
      </c>
    </row>
    <row r="56" ht="18.75" customHeight="1">
      <c r="A56" s="663">
        <v>2685.0</v>
      </c>
      <c r="B56" s="635" t="s">
        <v>954</v>
      </c>
      <c r="C56" s="601" t="s">
        <v>69</v>
      </c>
      <c r="D56" s="673">
        <v>8.0</v>
      </c>
      <c r="E56" s="636">
        <v>7.57</v>
      </c>
      <c r="F56" s="666" t="str">
        <f t="shared" si="5"/>
        <v>60.56</v>
      </c>
    </row>
    <row r="57" ht="26.25" customHeight="1">
      <c r="A57" s="663">
        <v>2731.0</v>
      </c>
      <c r="B57" s="600" t="s">
        <v>955</v>
      </c>
      <c r="C57" s="601" t="s">
        <v>69</v>
      </c>
      <c r="D57" s="673">
        <v>7.96</v>
      </c>
      <c r="E57" s="636">
        <v>111.49</v>
      </c>
      <c r="F57" s="666" t="str">
        <f t="shared" si="5"/>
        <v>887.46</v>
      </c>
    </row>
    <row r="58" ht="39.0" customHeight="1">
      <c r="A58" s="663">
        <v>3379.0</v>
      </c>
      <c r="B58" s="600" t="s">
        <v>956</v>
      </c>
      <c r="C58" s="601" t="s">
        <v>46</v>
      </c>
      <c r="D58" s="673">
        <v>1.0</v>
      </c>
      <c r="E58" s="636">
        <v>64.59</v>
      </c>
      <c r="F58" s="666" t="str">
        <f t="shared" si="5"/>
        <v>64.59</v>
      </c>
    </row>
    <row r="59" ht="44.25" customHeight="1">
      <c r="A59" s="663">
        <v>4346.0</v>
      </c>
      <c r="B59" s="635" t="s">
        <v>957</v>
      </c>
      <c r="C59" s="601" t="s">
        <v>46</v>
      </c>
      <c r="D59" s="673">
        <v>2.0</v>
      </c>
      <c r="E59" s="636">
        <v>11.29</v>
      </c>
      <c r="F59" s="666" t="str">
        <f t="shared" si="5"/>
        <v>22.58</v>
      </c>
    </row>
    <row r="60" ht="24.0" customHeight="1">
      <c r="A60" s="663">
        <v>11267.0</v>
      </c>
      <c r="B60" s="635" t="s">
        <v>958</v>
      </c>
      <c r="C60" s="601" t="s">
        <v>46</v>
      </c>
      <c r="D60" s="673">
        <v>2.0</v>
      </c>
      <c r="E60" s="636">
        <v>1.11</v>
      </c>
      <c r="F60" s="666" t="str">
        <f t="shared" si="5"/>
        <v>2.22</v>
      </c>
    </row>
    <row r="61" ht="24.0" customHeight="1">
      <c r="A61" s="674">
        <v>12034.0</v>
      </c>
      <c r="B61" s="647" t="s">
        <v>959</v>
      </c>
      <c r="C61" s="675" t="s">
        <v>46</v>
      </c>
      <c r="D61" s="676">
        <v>2.0</v>
      </c>
      <c r="E61" s="648">
        <v>4.69</v>
      </c>
      <c r="F61" s="677" t="str">
        <f t="shared" si="5"/>
        <v>9.38</v>
      </c>
    </row>
    <row r="62" ht="16.5" customHeight="1">
      <c r="A62" s="678">
        <v>39176.0</v>
      </c>
      <c r="B62" s="679" t="s">
        <v>960</v>
      </c>
      <c r="C62" s="680" t="s">
        <v>46</v>
      </c>
      <c r="D62" s="681">
        <v>2.0</v>
      </c>
      <c r="E62" s="682">
        <v>1.15</v>
      </c>
      <c r="F62" s="683" t="str">
        <f t="shared" si="5"/>
        <v>2.30</v>
      </c>
    </row>
    <row r="63" ht="24.0" customHeight="1">
      <c r="A63" s="663">
        <v>39210.0</v>
      </c>
      <c r="B63" s="635" t="s">
        <v>961</v>
      </c>
      <c r="C63" s="601" t="s">
        <v>46</v>
      </c>
      <c r="D63" s="673">
        <v>2.0</v>
      </c>
      <c r="E63" s="636">
        <v>0.9</v>
      </c>
      <c r="F63" s="666" t="str">
        <f t="shared" si="5"/>
        <v>1.80</v>
      </c>
    </row>
    <row r="64" ht="16.5" customHeight="1">
      <c r="A64" s="599"/>
      <c r="B64" s="684"/>
      <c r="C64" s="200"/>
      <c r="D64" s="685"/>
      <c r="E64" s="685"/>
      <c r="F64" s="610" t="str">
        <f>SUM(F47:F63)</f>
        <v>2,217.22</v>
      </c>
    </row>
    <row r="65" ht="16.5" customHeight="1">
      <c r="A65" s="611"/>
      <c r="B65" s="686" t="s">
        <v>928</v>
      </c>
      <c r="C65" s="127"/>
      <c r="D65" s="127"/>
      <c r="E65" s="687"/>
      <c r="F65" s="615" t="str">
        <f>F45+F64</f>
        <v>2,577.14</v>
      </c>
    </row>
    <row r="66" ht="16.5" customHeight="1">
      <c r="A66" s="624"/>
      <c r="B66" s="624"/>
      <c r="C66" s="624"/>
      <c r="D66" s="624"/>
      <c r="E66" s="624"/>
      <c r="F66" s="624"/>
    </row>
    <row r="67" ht="40.5" customHeight="1">
      <c r="A67" s="657" t="s">
        <v>275</v>
      </c>
      <c r="B67" s="658" t="s">
        <v>276</v>
      </c>
      <c r="C67" s="589" t="s">
        <v>46</v>
      </c>
      <c r="D67" s="590"/>
      <c r="E67" s="591"/>
      <c r="F67" s="592"/>
      <c r="H67" s="467" t="s">
        <v>962</v>
      </c>
    </row>
    <row r="68" ht="16.5" customHeight="1">
      <c r="A68" s="627" t="s">
        <v>963</v>
      </c>
      <c r="B68" s="561"/>
      <c r="C68" s="561"/>
      <c r="D68" s="561"/>
      <c r="E68" s="561"/>
      <c r="F68" s="124"/>
      <c r="H68" s="467"/>
    </row>
    <row r="69" ht="30.75" customHeight="1">
      <c r="A69" s="593"/>
      <c r="B69" s="594" t="s">
        <v>918</v>
      </c>
      <c r="C69" s="595" t="s">
        <v>919</v>
      </c>
      <c r="D69" s="596" t="s">
        <v>920</v>
      </c>
      <c r="E69" s="597" t="s">
        <v>921</v>
      </c>
      <c r="F69" s="598" t="s">
        <v>922</v>
      </c>
    </row>
    <row r="70" ht="16.5" customHeight="1">
      <c r="A70" s="663">
        <v>88309.0</v>
      </c>
      <c r="B70" s="688" t="s">
        <v>964</v>
      </c>
      <c r="C70" s="601" t="s">
        <v>924</v>
      </c>
      <c r="D70" s="665">
        <v>2.73</v>
      </c>
      <c r="E70" s="175">
        <v>24.59</v>
      </c>
      <c r="F70" s="603" t="str">
        <f t="shared" ref="F70:F71" si="6">TRUNC((D70*E70),2)</f>
        <v>67.13</v>
      </c>
      <c r="H70" s="204" t="str">
        <f>2.73*1</f>
        <v>2.73</v>
      </c>
    </row>
    <row r="71" ht="20.25" customHeight="1">
      <c r="A71" s="634">
        <v>88316.0</v>
      </c>
      <c r="B71" s="688" t="s">
        <v>935</v>
      </c>
      <c r="C71" s="601" t="s">
        <v>924</v>
      </c>
      <c r="D71" s="665">
        <v>4.095</v>
      </c>
      <c r="E71" s="605">
        <v>19.45</v>
      </c>
      <c r="F71" s="603" t="str">
        <f t="shared" si="6"/>
        <v>79.64</v>
      </c>
      <c r="H71" s="204" t="str">
        <f>2.73*1.5</f>
        <v>4.095</v>
      </c>
    </row>
    <row r="72" ht="28.5" customHeight="1">
      <c r="A72" s="663"/>
      <c r="B72" s="220"/>
      <c r="C72" s="601" t="s">
        <v>910</v>
      </c>
      <c r="D72" s="608" t="s">
        <v>910</v>
      </c>
      <c r="E72" s="609" t="s">
        <v>927</v>
      </c>
      <c r="F72" s="689" t="str">
        <f>SUM(F70:F71)</f>
        <v>146.77</v>
      </c>
    </row>
    <row r="73" ht="30.0" customHeight="1">
      <c r="A73" s="663"/>
      <c r="B73" s="690" t="s">
        <v>936</v>
      </c>
      <c r="C73" s="595" t="s">
        <v>919</v>
      </c>
      <c r="D73" s="596" t="s">
        <v>920</v>
      </c>
      <c r="E73" s="597" t="s">
        <v>921</v>
      </c>
      <c r="F73" s="598" t="s">
        <v>922</v>
      </c>
    </row>
    <row r="74" ht="29.25" customHeight="1">
      <c r="A74" s="691">
        <v>88630.0</v>
      </c>
      <c r="B74" s="600" t="s">
        <v>965</v>
      </c>
      <c r="C74" s="601" t="s">
        <v>58</v>
      </c>
      <c r="D74" s="692">
        <v>0.00819</v>
      </c>
      <c r="E74" s="636">
        <v>549.95</v>
      </c>
      <c r="F74" s="603" t="str">
        <f t="shared" ref="F74:F75" si="7">TRUNC((D74*E74),2)</f>
        <v>4.50</v>
      </c>
      <c r="H74" s="204" t="str">
        <f>2.73*0.003</f>
        <v>0.00819</v>
      </c>
    </row>
    <row r="75" ht="51.0" customHeight="1">
      <c r="A75" s="691" t="s">
        <v>966</v>
      </c>
      <c r="B75" s="600" t="s">
        <v>967</v>
      </c>
      <c r="C75" s="601" t="s">
        <v>46</v>
      </c>
      <c r="D75" s="693">
        <v>1.0</v>
      </c>
      <c r="E75" s="636" t="str">
        <f>G75</f>
        <v>3,780.00</v>
      </c>
      <c r="F75" s="603" t="str">
        <f t="shared" si="7"/>
        <v>3,780.00</v>
      </c>
      <c r="G75" s="694" t="str">
        <f>C84</f>
        <v>3780.00</v>
      </c>
      <c r="H75" s="695"/>
    </row>
    <row r="76" ht="14.25" customHeight="1">
      <c r="A76" s="599"/>
      <c r="B76" s="684"/>
      <c r="C76" s="200"/>
      <c r="D76" s="685"/>
      <c r="E76" s="609" t="s">
        <v>927</v>
      </c>
      <c r="F76" s="610" t="str">
        <f>SUM(F74:F75)</f>
        <v>3,784.50</v>
      </c>
      <c r="H76" s="695"/>
    </row>
    <row r="77" ht="16.5" customHeight="1">
      <c r="A77" s="611"/>
      <c r="B77" s="656" t="s">
        <v>928</v>
      </c>
      <c r="C77" s="613"/>
      <c r="D77" s="613"/>
      <c r="E77" s="614"/>
      <c r="F77" s="696" t="str">
        <f>F72+F76</f>
        <v>3,931.27</v>
      </c>
      <c r="H77" s="695"/>
    </row>
    <row r="78" ht="51.75" customHeight="1">
      <c r="A78" s="697"/>
      <c r="B78" s="698" t="s">
        <v>968</v>
      </c>
      <c r="C78" s="699" t="s">
        <v>969</v>
      </c>
      <c r="D78" s="28"/>
      <c r="E78" s="700"/>
      <c r="F78" s="701" t="s">
        <v>970</v>
      </c>
      <c r="H78" s="273" t="str">
        <f>1.3*2.1</f>
        <v>2.73</v>
      </c>
    </row>
    <row r="79" ht="16.5" customHeight="1">
      <c r="A79" s="611"/>
      <c r="B79" s="702" t="s">
        <v>971</v>
      </c>
      <c r="C79" s="613"/>
      <c r="D79" s="613"/>
      <c r="E79" s="614"/>
      <c r="F79" s="696"/>
    </row>
    <row r="80" ht="25.5" customHeight="1">
      <c r="A80" s="703" t="s">
        <v>972</v>
      </c>
      <c r="B80" s="704" t="s">
        <v>973</v>
      </c>
      <c r="C80" s="705" t="s">
        <v>974</v>
      </c>
      <c r="D80" s="706" t="s">
        <v>975</v>
      </c>
      <c r="E80" s="555"/>
      <c r="F80" s="707" t="s">
        <v>976</v>
      </c>
    </row>
    <row r="81" ht="32.25" customHeight="1">
      <c r="A81" s="708">
        <v>44854.0</v>
      </c>
      <c r="B81" s="709" t="s">
        <v>977</v>
      </c>
      <c r="C81" s="710">
        <v>3780.0</v>
      </c>
      <c r="D81" s="711" t="s">
        <v>978</v>
      </c>
      <c r="E81" s="712"/>
      <c r="F81" s="713" t="s">
        <v>979</v>
      </c>
      <c r="H81" s="714"/>
    </row>
    <row r="82" ht="34.5" customHeight="1">
      <c r="A82" s="715">
        <v>44859.0</v>
      </c>
      <c r="B82" s="716" t="s">
        <v>980</v>
      </c>
      <c r="C82" s="717">
        <v>6320.0</v>
      </c>
      <c r="D82" s="718" t="s">
        <v>981</v>
      </c>
      <c r="E82" s="555"/>
      <c r="F82" s="719" t="s">
        <v>982</v>
      </c>
    </row>
    <row r="83" ht="28.5" customHeight="1">
      <c r="A83" s="708">
        <v>44855.0</v>
      </c>
      <c r="B83" s="709" t="s">
        <v>983</v>
      </c>
      <c r="C83" s="710">
        <v>3050.0</v>
      </c>
      <c r="D83" s="711" t="s">
        <v>984</v>
      </c>
      <c r="E83" s="712"/>
      <c r="F83" s="713" t="s">
        <v>985</v>
      </c>
    </row>
    <row r="84" ht="15.0" customHeight="1">
      <c r="A84" s="720"/>
      <c r="B84" s="721" t="s">
        <v>986</v>
      </c>
      <c r="C84" s="722" t="str">
        <f>MEDIAN(C81:C83)</f>
        <v>3780.00</v>
      </c>
      <c r="D84" s="723"/>
      <c r="E84" s="712"/>
      <c r="F84" s="724"/>
    </row>
    <row r="85" ht="16.5" customHeight="1">
      <c r="A85" s="624"/>
      <c r="B85" s="624"/>
      <c r="C85" s="624"/>
      <c r="D85" s="624"/>
      <c r="E85" s="624"/>
      <c r="F85" s="624"/>
    </row>
    <row r="86" ht="42.75" customHeight="1">
      <c r="A86" s="587" t="s">
        <v>265</v>
      </c>
      <c r="B86" s="658" t="s">
        <v>987</v>
      </c>
      <c r="C86" s="589" t="s">
        <v>46</v>
      </c>
      <c r="D86" s="590"/>
      <c r="E86" s="591"/>
      <c r="F86" s="592"/>
      <c r="H86" s="467" t="s">
        <v>267</v>
      </c>
    </row>
    <row r="87" ht="16.5" customHeight="1">
      <c r="A87" s="627" t="s">
        <v>988</v>
      </c>
      <c r="B87" s="561"/>
      <c r="C87" s="561"/>
      <c r="D87" s="561"/>
      <c r="E87" s="561"/>
      <c r="F87" s="124"/>
    </row>
    <row r="88" ht="28.5" customHeight="1">
      <c r="A88" s="593"/>
      <c r="B88" s="594" t="s">
        <v>918</v>
      </c>
      <c r="C88" s="595" t="s">
        <v>919</v>
      </c>
      <c r="D88" s="596" t="s">
        <v>920</v>
      </c>
      <c r="E88" s="597" t="s">
        <v>921</v>
      </c>
      <c r="F88" s="598" t="s">
        <v>922</v>
      </c>
    </row>
    <row r="89" ht="29.25" customHeight="1">
      <c r="A89" s="663"/>
      <c r="B89" s="600"/>
      <c r="C89" s="601"/>
      <c r="D89" s="693"/>
      <c r="E89" s="605"/>
      <c r="F89" s="603"/>
    </row>
    <row r="90" ht="26.25" customHeight="1">
      <c r="A90" s="663"/>
      <c r="B90" s="220"/>
      <c r="C90" s="601" t="s">
        <v>910</v>
      </c>
      <c r="D90" s="608" t="s">
        <v>910</v>
      </c>
      <c r="E90" s="609" t="s">
        <v>927</v>
      </c>
      <c r="F90" s="598" t="str">
        <f>SUM(F89)</f>
        <v>0.00</v>
      </c>
    </row>
    <row r="91" ht="26.25" customHeight="1">
      <c r="A91" s="663"/>
      <c r="B91" s="690" t="s">
        <v>936</v>
      </c>
      <c r="C91" s="595" t="s">
        <v>919</v>
      </c>
      <c r="D91" s="596" t="s">
        <v>920</v>
      </c>
      <c r="E91" s="597" t="s">
        <v>921</v>
      </c>
      <c r="F91" s="598" t="s">
        <v>922</v>
      </c>
    </row>
    <row r="92" ht="30.0" customHeight="1">
      <c r="A92" s="691" t="s">
        <v>966</v>
      </c>
      <c r="B92" s="725" t="s">
        <v>989</v>
      </c>
      <c r="C92" s="601" t="s">
        <v>46</v>
      </c>
      <c r="D92" s="665">
        <v>1.0</v>
      </c>
      <c r="E92" s="605" t="str">
        <f>G92</f>
        <v>1760.00</v>
      </c>
      <c r="F92" s="726" t="str">
        <f>TRUNC((D92*E92),2)</f>
        <v>1,760.00</v>
      </c>
      <c r="G92" s="298" t="str">
        <f>C100</f>
        <v>1760.00</v>
      </c>
    </row>
    <row r="93" ht="30.0" customHeight="1">
      <c r="A93" s="727"/>
      <c r="B93" s="684"/>
      <c r="C93" s="200"/>
      <c r="D93" s="685"/>
      <c r="E93" s="728" t="s">
        <v>927</v>
      </c>
      <c r="F93" s="729" t="str">
        <f>SUM(F92)</f>
        <v>1,760.00</v>
      </c>
    </row>
    <row r="94" ht="16.5" customHeight="1">
      <c r="A94" s="611"/>
      <c r="B94" s="612" t="s">
        <v>928</v>
      </c>
      <c r="C94" s="613"/>
      <c r="D94" s="613"/>
      <c r="E94" s="614"/>
      <c r="F94" s="696" t="str">
        <f>F90+F93</f>
        <v>1,760.00</v>
      </c>
      <c r="H94" s="204"/>
    </row>
    <row r="95" ht="13.5" customHeight="1">
      <c r="A95" s="730"/>
      <c r="B95" s="731" t="s">
        <v>971</v>
      </c>
      <c r="C95" s="732"/>
      <c r="D95" s="732"/>
      <c r="E95" s="733"/>
      <c r="F95" s="734"/>
      <c r="H95" s="204"/>
    </row>
    <row r="96" ht="24.75" customHeight="1">
      <c r="A96" s="735" t="s">
        <v>972</v>
      </c>
      <c r="B96" s="597" t="s">
        <v>973</v>
      </c>
      <c r="C96" s="736" t="s">
        <v>974</v>
      </c>
      <c r="D96" s="737" t="s">
        <v>975</v>
      </c>
      <c r="E96" s="41"/>
      <c r="F96" s="738" t="s">
        <v>976</v>
      </c>
      <c r="H96" s="739"/>
    </row>
    <row r="97" ht="28.5" customHeight="1">
      <c r="A97" s="740">
        <v>44852.0</v>
      </c>
      <c r="B97" s="600" t="s">
        <v>990</v>
      </c>
      <c r="C97" s="605">
        <v>1305.91</v>
      </c>
      <c r="D97" s="347" t="s">
        <v>991</v>
      </c>
      <c r="E97" s="41"/>
      <c r="F97" s="741" t="s">
        <v>992</v>
      </c>
      <c r="G97" s="259"/>
      <c r="H97" s="348">
        <v>1305.91</v>
      </c>
      <c r="I97" s="353" t="s">
        <v>993</v>
      </c>
    </row>
    <row r="98" ht="28.5" customHeight="1">
      <c r="A98" s="740">
        <v>44851.0</v>
      </c>
      <c r="B98" s="600" t="s">
        <v>994</v>
      </c>
      <c r="C98" s="605">
        <v>3705.0</v>
      </c>
      <c r="D98" s="347" t="s">
        <v>995</v>
      </c>
      <c r="E98" s="41"/>
      <c r="F98" s="741" t="s">
        <v>996</v>
      </c>
    </row>
    <row r="99" ht="16.5" customHeight="1">
      <c r="A99" s="740">
        <v>44855.0</v>
      </c>
      <c r="B99" s="742" t="s">
        <v>997</v>
      </c>
      <c r="C99" s="605">
        <v>1760.0</v>
      </c>
      <c r="D99" s="347" t="s">
        <v>998</v>
      </c>
      <c r="E99" s="41"/>
      <c r="F99" s="741" t="s">
        <v>999</v>
      </c>
    </row>
    <row r="100" ht="14.25" customHeight="1">
      <c r="A100" s="720"/>
      <c r="B100" s="721" t="s">
        <v>986</v>
      </c>
      <c r="C100" s="722" t="str">
        <f>MEDIAN(C97:C99)</f>
        <v>1760.00</v>
      </c>
      <c r="D100" s="723"/>
      <c r="E100" s="712"/>
      <c r="F100" s="724"/>
      <c r="H100" s="743"/>
    </row>
    <row r="101" ht="16.5" customHeight="1">
      <c r="A101" s="335"/>
      <c r="B101" s="744"/>
      <c r="C101" s="745"/>
      <c r="D101" s="624"/>
      <c r="E101" s="624"/>
      <c r="F101" s="335"/>
    </row>
    <row r="102" ht="39.0" customHeight="1">
      <c r="A102" s="587" t="s">
        <v>660</v>
      </c>
      <c r="B102" s="746" t="s">
        <v>1000</v>
      </c>
      <c r="C102" s="589" t="s">
        <v>46</v>
      </c>
      <c r="D102" s="590"/>
      <c r="E102" s="590"/>
      <c r="F102" s="659"/>
    </row>
    <row r="103" ht="17.25" customHeight="1">
      <c r="A103" s="627" t="s">
        <v>1001</v>
      </c>
      <c r="B103" s="561"/>
      <c r="C103" s="561"/>
      <c r="D103" s="561"/>
      <c r="E103" s="561"/>
      <c r="F103" s="124"/>
    </row>
    <row r="104" ht="24.75" customHeight="1">
      <c r="A104" s="660"/>
      <c r="B104" s="661" t="s">
        <v>918</v>
      </c>
      <c r="C104" s="595" t="s">
        <v>919</v>
      </c>
      <c r="D104" s="596" t="s">
        <v>920</v>
      </c>
      <c r="E104" s="632" t="s">
        <v>921</v>
      </c>
      <c r="F104" s="662" t="s">
        <v>922</v>
      </c>
    </row>
    <row r="105" ht="30.0" customHeight="1">
      <c r="A105" s="663">
        <v>88267.0</v>
      </c>
      <c r="B105" s="600" t="s">
        <v>1002</v>
      </c>
      <c r="C105" s="601" t="s">
        <v>924</v>
      </c>
      <c r="D105" s="665">
        <v>0.9485</v>
      </c>
      <c r="E105" s="636">
        <v>24.64</v>
      </c>
      <c r="F105" s="726" t="str">
        <f t="shared" ref="F105:F106" si="8">TRUNC((D105*E105),2)</f>
        <v>23.37</v>
      </c>
    </row>
    <row r="106" ht="16.5" customHeight="1">
      <c r="A106" s="667">
        <v>88316.0</v>
      </c>
      <c r="B106" s="747" t="s">
        <v>935</v>
      </c>
      <c r="C106" s="601" t="s">
        <v>924</v>
      </c>
      <c r="D106" s="665">
        <v>0.2988</v>
      </c>
      <c r="E106" s="605">
        <v>19.45</v>
      </c>
      <c r="F106" s="726" t="str">
        <f t="shared" si="8"/>
        <v>5.81</v>
      </c>
    </row>
    <row r="107" ht="16.5" customHeight="1">
      <c r="A107" s="668"/>
      <c r="B107" s="669"/>
      <c r="C107" s="607" t="s">
        <v>910</v>
      </c>
      <c r="D107" s="608" t="s">
        <v>910</v>
      </c>
      <c r="E107" s="608"/>
      <c r="F107" s="662" t="str">
        <f>SUM(F105:F106)</f>
        <v>29.18</v>
      </c>
    </row>
    <row r="108" ht="27.0" customHeight="1">
      <c r="A108" s="668"/>
      <c r="B108" s="661" t="s">
        <v>936</v>
      </c>
      <c r="C108" s="595" t="s">
        <v>919</v>
      </c>
      <c r="D108" s="596" t="s">
        <v>920</v>
      </c>
      <c r="E108" s="632" t="s">
        <v>921</v>
      </c>
      <c r="F108" s="662" t="s">
        <v>922</v>
      </c>
    </row>
    <row r="109" ht="24.0" customHeight="1">
      <c r="A109" s="691" t="s">
        <v>966</v>
      </c>
      <c r="B109" s="600" t="s">
        <v>1003</v>
      </c>
      <c r="C109" s="601" t="s">
        <v>46</v>
      </c>
      <c r="D109" s="673">
        <v>1.0</v>
      </c>
      <c r="E109" s="636" t="str">
        <f>G109</f>
        <v>269.90</v>
      </c>
      <c r="F109" s="726" t="str">
        <f t="shared" ref="F109:F110" si="9">TRUNC((D109*E109),2)</f>
        <v>269.90</v>
      </c>
      <c r="G109" s="352" t="str">
        <f>C118</f>
        <v>269.90</v>
      </c>
    </row>
    <row r="110" ht="40.5" customHeight="1">
      <c r="A110" s="748">
        <v>4351.0</v>
      </c>
      <c r="B110" s="600" t="s">
        <v>1004</v>
      </c>
      <c r="C110" s="601" t="s">
        <v>46</v>
      </c>
      <c r="D110" s="673">
        <v>6.0</v>
      </c>
      <c r="E110" s="636">
        <v>18.56</v>
      </c>
      <c r="F110" s="726" t="str">
        <f t="shared" si="9"/>
        <v>111.36</v>
      </c>
      <c r="H110" s="749" t="s">
        <v>1005</v>
      </c>
    </row>
    <row r="111" ht="15.75" customHeight="1">
      <c r="A111" s="599"/>
      <c r="B111" s="684"/>
      <c r="C111" s="200"/>
      <c r="D111" s="685"/>
      <c r="E111" s="728" t="s">
        <v>927</v>
      </c>
      <c r="F111" s="598" t="str">
        <f>SUM(F109:F110)</f>
        <v>381.26</v>
      </c>
      <c r="I111" s="750"/>
      <c r="J111" s="750"/>
    </row>
    <row r="112" ht="16.5" customHeight="1">
      <c r="A112" s="611"/>
      <c r="B112" s="686" t="s">
        <v>928</v>
      </c>
      <c r="C112" s="127"/>
      <c r="D112" s="127"/>
      <c r="E112" s="687"/>
      <c r="F112" s="615" t="str">
        <f>F107+F111</f>
        <v>410.44</v>
      </c>
      <c r="I112" s="750"/>
      <c r="J112" s="750"/>
    </row>
    <row r="113" ht="15.0" customHeight="1">
      <c r="A113" s="730"/>
      <c r="B113" s="731" t="s">
        <v>971</v>
      </c>
      <c r="C113" s="732"/>
      <c r="D113" s="732"/>
      <c r="E113" s="733"/>
      <c r="F113" s="734"/>
    </row>
    <row r="114" ht="27.75" customHeight="1">
      <c r="A114" s="735" t="s">
        <v>972</v>
      </c>
      <c r="B114" s="597" t="s">
        <v>973</v>
      </c>
      <c r="C114" s="736" t="s">
        <v>974</v>
      </c>
      <c r="D114" s="737" t="s">
        <v>975</v>
      </c>
      <c r="E114" s="41"/>
      <c r="F114" s="738" t="s">
        <v>976</v>
      </c>
    </row>
    <row r="115" ht="40.5" customHeight="1">
      <c r="A115" s="740">
        <v>44803.0</v>
      </c>
      <c r="B115" s="600" t="s">
        <v>1006</v>
      </c>
      <c r="C115" s="605">
        <v>136.0</v>
      </c>
      <c r="D115" s="347" t="s">
        <v>1007</v>
      </c>
      <c r="E115" s="41"/>
      <c r="F115" s="741" t="s">
        <v>1008</v>
      </c>
    </row>
    <row r="116" ht="29.25" customHeight="1">
      <c r="A116" s="740">
        <v>44803.0</v>
      </c>
      <c r="B116" s="600" t="s">
        <v>1009</v>
      </c>
      <c r="C116" s="605">
        <v>269.9</v>
      </c>
      <c r="D116" s="347" t="s">
        <v>1010</v>
      </c>
      <c r="E116" s="41"/>
      <c r="F116" s="741" t="s">
        <v>1011</v>
      </c>
      <c r="H116" s="751"/>
    </row>
    <row r="117" ht="14.25" customHeight="1">
      <c r="A117" s="740">
        <v>44851.0</v>
      </c>
      <c r="B117" s="742" t="s">
        <v>1012</v>
      </c>
      <c r="C117" s="605">
        <v>276.99</v>
      </c>
      <c r="D117" s="347" t="s">
        <v>1013</v>
      </c>
      <c r="E117" s="41"/>
      <c r="F117" s="741" t="s">
        <v>1014</v>
      </c>
      <c r="H117" s="750"/>
    </row>
    <row r="118" ht="14.25" customHeight="1">
      <c r="A118" s="720"/>
      <c r="B118" s="721" t="s">
        <v>986</v>
      </c>
      <c r="C118" s="722" t="str">
        <f>MEDIAN(C115:C117)</f>
        <v>269.90</v>
      </c>
      <c r="D118" s="723"/>
      <c r="E118" s="712"/>
      <c r="F118" s="724"/>
    </row>
    <row r="119" ht="14.25" customHeight="1">
      <c r="A119" s="624"/>
      <c r="B119" s="624"/>
      <c r="C119" s="624"/>
      <c r="D119" s="624"/>
      <c r="E119" s="624"/>
      <c r="F119" s="624"/>
    </row>
    <row r="120" ht="18.75" customHeight="1">
      <c r="A120" s="587" t="s">
        <v>258</v>
      </c>
      <c r="B120" s="658" t="s">
        <v>259</v>
      </c>
      <c r="C120" s="589" t="s">
        <v>46</v>
      </c>
      <c r="D120" s="590"/>
      <c r="E120" s="591"/>
      <c r="F120" s="592"/>
      <c r="H120" s="467" t="s">
        <v>260</v>
      </c>
    </row>
    <row r="121" ht="15.0" customHeight="1">
      <c r="A121" s="627" t="s">
        <v>988</v>
      </c>
      <c r="B121" s="561"/>
      <c r="C121" s="561"/>
      <c r="D121" s="561"/>
      <c r="E121" s="561"/>
      <c r="F121" s="124"/>
    </row>
    <row r="122" ht="14.25" customHeight="1">
      <c r="A122" s="593"/>
      <c r="B122" s="594" t="s">
        <v>918</v>
      </c>
      <c r="C122" s="595" t="s">
        <v>919</v>
      </c>
      <c r="D122" s="596" t="s">
        <v>920</v>
      </c>
      <c r="E122" s="597" t="s">
        <v>921</v>
      </c>
      <c r="F122" s="598" t="s">
        <v>922</v>
      </c>
      <c r="G122" s="752"/>
    </row>
    <row r="123" ht="14.25" customHeight="1">
      <c r="A123" s="663"/>
      <c r="B123" s="600"/>
      <c r="C123" s="601"/>
      <c r="D123" s="693"/>
      <c r="E123" s="605"/>
      <c r="F123" s="603"/>
      <c r="G123" s="753"/>
    </row>
    <row r="124" ht="14.25" customHeight="1">
      <c r="A124" s="663"/>
      <c r="B124" s="220"/>
      <c r="C124" s="601" t="s">
        <v>910</v>
      </c>
      <c r="D124" s="608" t="s">
        <v>910</v>
      </c>
      <c r="E124" s="609" t="s">
        <v>927</v>
      </c>
      <c r="F124" s="598" t="str">
        <f>SUM(F123)</f>
        <v>0.00</v>
      </c>
      <c r="G124" s="754"/>
    </row>
    <row r="125" ht="14.25" customHeight="1">
      <c r="A125" s="663"/>
      <c r="B125" s="690" t="s">
        <v>936</v>
      </c>
      <c r="C125" s="595" t="s">
        <v>919</v>
      </c>
      <c r="D125" s="596" t="s">
        <v>920</v>
      </c>
      <c r="E125" s="597" t="s">
        <v>921</v>
      </c>
      <c r="F125" s="598" t="s">
        <v>922</v>
      </c>
      <c r="G125" s="754"/>
    </row>
    <row r="126" ht="14.25" customHeight="1">
      <c r="A126" s="645" t="s">
        <v>966</v>
      </c>
      <c r="B126" s="755" t="s">
        <v>1015</v>
      </c>
      <c r="C126" s="756" t="s">
        <v>46</v>
      </c>
      <c r="D126" s="757">
        <v>1.0</v>
      </c>
      <c r="E126" s="758" t="str">
        <f>C135</f>
        <v>1820.00</v>
      </c>
      <c r="F126" s="726" t="str">
        <f t="shared" ref="F126:F127" si="10">TRUNC((D126*E126),2)</f>
        <v>1,820.00</v>
      </c>
      <c r="G126" s="754"/>
    </row>
    <row r="127" ht="14.25" customHeight="1">
      <c r="A127" s="691" t="s">
        <v>660</v>
      </c>
      <c r="B127" s="600" t="s">
        <v>1016</v>
      </c>
      <c r="C127" s="601" t="s">
        <v>46</v>
      </c>
      <c r="D127" s="693">
        <v>1.0</v>
      </c>
      <c r="E127" s="605" t="str">
        <f>H127</f>
        <v>410.44</v>
      </c>
      <c r="F127" s="759" t="str">
        <f t="shared" si="10"/>
        <v>410.44</v>
      </c>
      <c r="G127" s="754"/>
      <c r="H127" s="760" t="str">
        <f>F112</f>
        <v>410.44</v>
      </c>
    </row>
    <row r="128" ht="14.25" customHeight="1">
      <c r="A128" s="727"/>
      <c r="B128" s="684"/>
      <c r="C128" s="200"/>
      <c r="D128" s="685"/>
      <c r="E128" s="609" t="s">
        <v>927</v>
      </c>
      <c r="F128" s="729" t="str">
        <f>SUM(F126:F127)</f>
        <v>2,230.44</v>
      </c>
      <c r="G128" s="754"/>
    </row>
    <row r="129" ht="18.0" customHeight="1">
      <c r="A129" s="611"/>
      <c r="B129" s="612" t="s">
        <v>928</v>
      </c>
      <c r="C129" s="613"/>
      <c r="D129" s="613"/>
      <c r="E129" s="614"/>
      <c r="F129" s="696" t="str">
        <f>F124+F128</f>
        <v>2,230.44</v>
      </c>
      <c r="G129" s="761"/>
    </row>
    <row r="130" ht="14.25" customHeight="1">
      <c r="A130" s="762"/>
      <c r="B130" s="763" t="s">
        <v>971</v>
      </c>
      <c r="C130" s="764"/>
      <c r="D130" s="764"/>
      <c r="E130" s="765"/>
      <c r="F130" s="766"/>
      <c r="G130" s="761"/>
    </row>
    <row r="131" ht="27.0" customHeight="1">
      <c r="A131" s="735" t="s">
        <v>972</v>
      </c>
      <c r="B131" s="597" t="s">
        <v>973</v>
      </c>
      <c r="C131" s="736" t="s">
        <v>974</v>
      </c>
      <c r="D131" s="737" t="s">
        <v>975</v>
      </c>
      <c r="E131" s="41"/>
      <c r="F131" s="738" t="s">
        <v>976</v>
      </c>
      <c r="G131" s="754"/>
    </row>
    <row r="132" ht="28.5" customHeight="1">
      <c r="A132" s="740">
        <v>44855.0</v>
      </c>
      <c r="B132" s="600" t="s">
        <v>990</v>
      </c>
      <c r="C132" s="605" t="str">
        <f t="shared" ref="C132:C133" si="11">G132</f>
        <v>1418.78</v>
      </c>
      <c r="D132" s="347" t="s">
        <v>991</v>
      </c>
      <c r="E132" s="41"/>
      <c r="F132" s="741" t="s">
        <v>992</v>
      </c>
      <c r="G132" s="353" t="str">
        <f>427.98+262.35+126+111.4+36.28+331.29+90.73+65.5/2</f>
        <v>1418.78</v>
      </c>
      <c r="I132" s="767" t="s">
        <v>1017</v>
      </c>
      <c r="J132" s="768" t="s">
        <v>1018</v>
      </c>
      <c r="K132" s="769" t="s">
        <v>1019</v>
      </c>
    </row>
    <row r="133" ht="14.25" customHeight="1">
      <c r="A133" s="740">
        <v>44852.0</v>
      </c>
      <c r="B133" s="600" t="s">
        <v>994</v>
      </c>
      <c r="C133" s="605" t="str">
        <f t="shared" si="11"/>
        <v>1820.00</v>
      </c>
      <c r="D133" s="347" t="s">
        <v>995</v>
      </c>
      <c r="E133" s="41"/>
      <c r="F133" s="741" t="s">
        <v>1020</v>
      </c>
      <c r="G133" s="754" t="str">
        <f>480+250+80+150+165+35+350+60+250</f>
        <v>1,820.00</v>
      </c>
      <c r="I133" s="770" t="s">
        <v>1021</v>
      </c>
    </row>
    <row r="134" ht="14.25" customHeight="1">
      <c r="A134" s="740">
        <v>44855.0</v>
      </c>
      <c r="B134" s="742" t="s">
        <v>997</v>
      </c>
      <c r="C134" s="605">
        <v>2200.0</v>
      </c>
      <c r="D134" s="347" t="s">
        <v>998</v>
      </c>
      <c r="E134" s="41"/>
      <c r="F134" s="741" t="s">
        <v>1022</v>
      </c>
      <c r="G134" s="771"/>
    </row>
    <row r="135" ht="14.25" customHeight="1">
      <c r="A135" s="720"/>
      <c r="B135" s="721" t="s">
        <v>986</v>
      </c>
      <c r="C135" s="722" t="str">
        <f>MEDIAN(C132:C134)</f>
        <v>1820.00</v>
      </c>
      <c r="D135" s="723"/>
      <c r="E135" s="712"/>
      <c r="F135" s="724"/>
      <c r="G135" s="771"/>
    </row>
    <row r="136" ht="14.25" customHeight="1">
      <c r="A136" s="130"/>
      <c r="B136" s="772"/>
      <c r="C136" s="323"/>
      <c r="D136" s="255"/>
      <c r="E136" s="255"/>
      <c r="F136" s="773"/>
      <c r="G136" s="771"/>
    </row>
    <row r="137" ht="14.25" customHeight="1">
      <c r="A137" s="587" t="s">
        <v>857</v>
      </c>
      <c r="B137" s="774" t="s">
        <v>858</v>
      </c>
      <c r="C137" s="775" t="s">
        <v>53</v>
      </c>
      <c r="D137" s="776"/>
      <c r="E137" s="777"/>
      <c r="F137" s="778"/>
      <c r="G137" s="779"/>
    </row>
    <row r="138" ht="14.25" customHeight="1">
      <c r="A138" s="780" t="s">
        <v>1023</v>
      </c>
      <c r="B138" s="107"/>
      <c r="C138" s="107"/>
      <c r="D138" s="107"/>
      <c r="E138" s="107"/>
      <c r="F138" s="781"/>
    </row>
    <row r="139" ht="14.25" customHeight="1">
      <c r="A139" s="593"/>
      <c r="B139" s="594" t="s">
        <v>918</v>
      </c>
      <c r="C139" s="595" t="s">
        <v>919</v>
      </c>
      <c r="D139" s="596" t="s">
        <v>920</v>
      </c>
      <c r="E139" s="597" t="s">
        <v>921</v>
      </c>
      <c r="F139" s="598" t="s">
        <v>922</v>
      </c>
    </row>
    <row r="140" ht="14.25" customHeight="1">
      <c r="A140" s="663">
        <v>88315.0</v>
      </c>
      <c r="B140" s="600" t="s">
        <v>1024</v>
      </c>
      <c r="C140" s="601" t="s">
        <v>924</v>
      </c>
      <c r="D140" s="665">
        <v>0.9774</v>
      </c>
      <c r="E140" s="605">
        <v>24.44</v>
      </c>
      <c r="F140" s="726" t="str">
        <f t="shared" ref="F140:F141" si="12">TRUNC((D140*E140),2)</f>
        <v>23.88</v>
      </c>
    </row>
    <row r="141" ht="14.25" customHeight="1">
      <c r="A141" s="663">
        <v>88316.0</v>
      </c>
      <c r="B141" s="600" t="s">
        <v>935</v>
      </c>
      <c r="C141" s="601" t="s">
        <v>924</v>
      </c>
      <c r="D141" s="665">
        <v>0.9774</v>
      </c>
      <c r="E141" s="605">
        <v>19.45</v>
      </c>
      <c r="F141" s="726" t="str">
        <f t="shared" si="12"/>
        <v>19.01</v>
      </c>
    </row>
    <row r="142" ht="14.25" customHeight="1">
      <c r="A142" s="663"/>
      <c r="B142" s="220"/>
      <c r="C142" s="601" t="s">
        <v>910</v>
      </c>
      <c r="D142" s="608" t="s">
        <v>910</v>
      </c>
      <c r="E142" s="609" t="s">
        <v>927</v>
      </c>
      <c r="F142" s="782" t="str">
        <f>SUM(F140:F141)</f>
        <v>42.89</v>
      </c>
    </row>
    <row r="143" ht="14.25" customHeight="1">
      <c r="A143" s="663"/>
      <c r="B143" s="690" t="s">
        <v>936</v>
      </c>
      <c r="C143" s="595" t="s">
        <v>919</v>
      </c>
      <c r="D143" s="596" t="s">
        <v>920</v>
      </c>
      <c r="E143" s="597" t="s">
        <v>921</v>
      </c>
      <c r="F143" s="598" t="s">
        <v>922</v>
      </c>
    </row>
    <row r="144" ht="14.25" customHeight="1">
      <c r="A144" s="691" t="s">
        <v>966</v>
      </c>
      <c r="B144" s="783" t="s">
        <v>1025</v>
      </c>
      <c r="C144" s="334" t="s">
        <v>53</v>
      </c>
      <c r="D144" s="693">
        <v>1.02</v>
      </c>
      <c r="E144" s="636">
        <v>1044.33</v>
      </c>
      <c r="F144" s="726" t="str">
        <f t="shared" ref="F144:F145" si="13">TRUNC((D144*E144),2)</f>
        <v>1,065.21</v>
      </c>
      <c r="G144" s="183"/>
    </row>
    <row r="145" ht="14.25" customHeight="1">
      <c r="A145" s="784">
        <v>94962.0</v>
      </c>
      <c r="B145" s="600" t="s">
        <v>1026</v>
      </c>
      <c r="C145" s="334" t="s">
        <v>58</v>
      </c>
      <c r="D145" s="665">
        <v>0.0045</v>
      </c>
      <c r="E145" s="636">
        <v>438.71</v>
      </c>
      <c r="F145" s="726" t="str">
        <f t="shared" si="13"/>
        <v>1.97</v>
      </c>
    </row>
    <row r="146" ht="14.25" customHeight="1">
      <c r="A146" s="727"/>
      <c r="B146" s="684"/>
      <c r="C146" s="200"/>
      <c r="D146" s="685"/>
      <c r="E146" s="609" t="s">
        <v>927</v>
      </c>
      <c r="F146" s="598" t="str">
        <f>SUM(F144)</f>
        <v>1,065.21</v>
      </c>
    </row>
    <row r="147" ht="15.0" customHeight="1">
      <c r="A147" s="611"/>
      <c r="B147" s="612" t="s">
        <v>928</v>
      </c>
      <c r="C147" s="613"/>
      <c r="D147" s="613"/>
      <c r="E147" s="614"/>
      <c r="F147" s="696" t="str">
        <f>F142+F146</f>
        <v>1,108.10</v>
      </c>
    </row>
    <row r="148" ht="30.75" customHeight="1">
      <c r="A148" s="785"/>
      <c r="B148" s="786" t="s">
        <v>1027</v>
      </c>
      <c r="C148" s="787" t="s">
        <v>1028</v>
      </c>
      <c r="D148" s="28"/>
      <c r="E148" s="618"/>
      <c r="F148" s="788" t="s">
        <v>1029</v>
      </c>
      <c r="G148" s="295" t="str">
        <f>C154</f>
        <v>5300.00</v>
      </c>
      <c r="I148" t="str">
        <f>5300/5.075</f>
        <v>1044.334975</v>
      </c>
    </row>
    <row r="149" ht="14.25" customHeight="1">
      <c r="A149" s="730"/>
      <c r="B149" s="731" t="s">
        <v>971</v>
      </c>
      <c r="C149" s="732"/>
      <c r="D149" s="732"/>
      <c r="E149" s="733"/>
      <c r="F149" s="734"/>
    </row>
    <row r="150" ht="14.25" customHeight="1">
      <c r="A150" s="735" t="s">
        <v>972</v>
      </c>
      <c r="B150" s="597" t="s">
        <v>973</v>
      </c>
      <c r="C150" s="736" t="s">
        <v>974</v>
      </c>
      <c r="D150" s="737" t="s">
        <v>975</v>
      </c>
      <c r="E150" s="41"/>
      <c r="F150" s="738" t="s">
        <v>976</v>
      </c>
    </row>
    <row r="151" ht="29.25" customHeight="1">
      <c r="A151" s="740">
        <v>44855.0</v>
      </c>
      <c r="B151" s="600" t="s">
        <v>1030</v>
      </c>
      <c r="C151" s="605">
        <v>5300.0</v>
      </c>
      <c r="D151" s="347" t="s">
        <v>1031</v>
      </c>
      <c r="E151" s="41"/>
      <c r="F151" s="741" t="s">
        <v>1032</v>
      </c>
      <c r="H151" s="743" t="s">
        <v>1033</v>
      </c>
    </row>
    <row r="152" ht="14.25" customHeight="1">
      <c r="A152" s="740">
        <v>44841.0</v>
      </c>
      <c r="B152" s="600" t="s">
        <v>1034</v>
      </c>
      <c r="C152" s="605">
        <v>6800.0</v>
      </c>
      <c r="D152" s="347" t="s">
        <v>1035</v>
      </c>
      <c r="E152" s="41"/>
      <c r="F152" s="741" t="s">
        <v>1036</v>
      </c>
      <c r="H152" s="789"/>
    </row>
    <row r="153" ht="14.25" customHeight="1">
      <c r="A153" s="740">
        <v>44852.0</v>
      </c>
      <c r="B153" s="742" t="s">
        <v>1037</v>
      </c>
      <c r="C153" s="605">
        <v>2688.0</v>
      </c>
      <c r="D153" s="347" t="s">
        <v>1038</v>
      </c>
      <c r="E153" s="41"/>
      <c r="F153" s="790" t="s">
        <v>1039</v>
      </c>
    </row>
    <row r="154" ht="14.25" customHeight="1">
      <c r="A154" s="720"/>
      <c r="B154" s="721" t="s">
        <v>986</v>
      </c>
      <c r="C154" s="722" t="str">
        <f>MEDIAN(C151:C153)</f>
        <v>5300.00</v>
      </c>
      <c r="D154" s="723"/>
      <c r="E154" s="712"/>
      <c r="F154" s="724"/>
    </row>
    <row r="155" ht="14.25" customHeight="1">
      <c r="A155" s="791"/>
      <c r="B155" s="672"/>
      <c r="C155" s="448"/>
      <c r="D155" s="792"/>
      <c r="E155" s="368"/>
      <c r="F155" s="792"/>
    </row>
    <row r="156" ht="28.5" customHeight="1">
      <c r="A156" s="587" t="s">
        <v>290</v>
      </c>
      <c r="B156" s="793" t="s">
        <v>1040</v>
      </c>
      <c r="C156" s="589" t="s">
        <v>46</v>
      </c>
      <c r="D156" s="590"/>
      <c r="E156" s="591"/>
      <c r="F156" s="592"/>
    </row>
    <row r="157" ht="15.0" customHeight="1">
      <c r="A157" s="794" t="s">
        <v>1041</v>
      </c>
      <c r="B157" s="561"/>
      <c r="C157" s="561"/>
      <c r="D157" s="561"/>
      <c r="E157" s="561"/>
      <c r="F157" s="41"/>
    </row>
    <row r="158" ht="14.25" customHeight="1">
      <c r="A158" s="795"/>
      <c r="B158" s="796" t="s">
        <v>918</v>
      </c>
      <c r="C158" s="630" t="s">
        <v>919</v>
      </c>
      <c r="D158" s="631" t="s">
        <v>920</v>
      </c>
      <c r="E158" s="632" t="s">
        <v>921</v>
      </c>
      <c r="F158" s="797" t="s">
        <v>922</v>
      </c>
    </row>
    <row r="159" ht="14.25" customHeight="1">
      <c r="A159" s="663"/>
      <c r="B159" s="688"/>
      <c r="C159" s="601"/>
      <c r="D159" s="693"/>
      <c r="E159" s="605"/>
      <c r="F159" s="603"/>
    </row>
    <row r="160" ht="14.25" customHeight="1">
      <c r="A160" s="663"/>
      <c r="B160" s="220"/>
      <c r="C160" s="601" t="s">
        <v>910</v>
      </c>
      <c r="D160" s="608" t="s">
        <v>910</v>
      </c>
      <c r="E160" s="609" t="s">
        <v>927</v>
      </c>
      <c r="F160" s="782" t="str">
        <f>SUM(F159)</f>
        <v>0.00</v>
      </c>
    </row>
    <row r="161" ht="14.25" customHeight="1">
      <c r="A161" s="663"/>
      <c r="B161" s="690" t="s">
        <v>936</v>
      </c>
      <c r="C161" s="595" t="s">
        <v>919</v>
      </c>
      <c r="D161" s="596" t="s">
        <v>920</v>
      </c>
      <c r="E161" s="597" t="s">
        <v>921</v>
      </c>
      <c r="F161" s="598" t="s">
        <v>922</v>
      </c>
    </row>
    <row r="162" ht="31.5" customHeight="1">
      <c r="A162" s="691" t="s">
        <v>966</v>
      </c>
      <c r="B162" s="783" t="s">
        <v>1042</v>
      </c>
      <c r="C162" s="601" t="s">
        <v>46</v>
      </c>
      <c r="D162" s="693">
        <v>1.0</v>
      </c>
      <c r="E162" s="636" t="str">
        <f>C170</f>
        <v>3,594.00</v>
      </c>
      <c r="F162" s="726" t="str">
        <f>TRUNC((D162*E162),2)</f>
        <v>3,594.00</v>
      </c>
    </row>
    <row r="163" ht="14.25" customHeight="1">
      <c r="A163" s="727"/>
      <c r="B163" s="684"/>
      <c r="C163" s="200"/>
      <c r="D163" s="685"/>
      <c r="E163" s="609" t="s">
        <v>927</v>
      </c>
      <c r="F163" s="598" t="str">
        <f>SUM(F162)</f>
        <v>3,594.00</v>
      </c>
    </row>
    <row r="164" ht="14.25" customHeight="1">
      <c r="A164" s="611"/>
      <c r="B164" s="612" t="s">
        <v>928</v>
      </c>
      <c r="C164" s="613"/>
      <c r="D164" s="613"/>
      <c r="E164" s="614"/>
      <c r="F164" s="696" t="str">
        <f>F160+F163</f>
        <v>3,594.00</v>
      </c>
    </row>
    <row r="165" ht="14.25" customHeight="1">
      <c r="A165" s="730"/>
      <c r="B165" s="731" t="s">
        <v>971</v>
      </c>
      <c r="C165" s="732"/>
      <c r="D165" s="732"/>
      <c r="E165" s="733"/>
      <c r="F165" s="734"/>
    </row>
    <row r="166" ht="14.25" customHeight="1">
      <c r="A166" s="735" t="s">
        <v>972</v>
      </c>
      <c r="B166" s="597" t="s">
        <v>973</v>
      </c>
      <c r="C166" s="736" t="s">
        <v>974</v>
      </c>
      <c r="D166" s="737" t="s">
        <v>975</v>
      </c>
      <c r="E166" s="41"/>
      <c r="F166" s="738" t="s">
        <v>976</v>
      </c>
    </row>
    <row r="167" ht="14.25" customHeight="1">
      <c r="A167" s="740">
        <v>44855.0</v>
      </c>
      <c r="B167" s="600" t="s">
        <v>1030</v>
      </c>
      <c r="C167" s="798">
        <v>2900.0</v>
      </c>
      <c r="D167" s="347" t="s">
        <v>1031</v>
      </c>
      <c r="E167" s="41"/>
      <c r="F167" s="741" t="s">
        <v>1032</v>
      </c>
    </row>
    <row r="168" ht="14.25" customHeight="1">
      <c r="A168" s="740">
        <v>44841.0</v>
      </c>
      <c r="B168" s="600" t="s">
        <v>1034</v>
      </c>
      <c r="C168" s="605">
        <v>9700.0</v>
      </c>
      <c r="D168" s="347" t="s">
        <v>1035</v>
      </c>
      <c r="E168" s="41"/>
      <c r="F168" s="741" t="s">
        <v>1036</v>
      </c>
    </row>
    <row r="169" ht="14.25" customHeight="1">
      <c r="A169" s="740">
        <v>44852.0</v>
      </c>
      <c r="B169" s="742" t="s">
        <v>1037</v>
      </c>
      <c r="C169" s="605">
        <v>3594.0</v>
      </c>
      <c r="D169" s="347" t="s">
        <v>1038</v>
      </c>
      <c r="E169" s="41"/>
      <c r="F169" s="790" t="s">
        <v>1039</v>
      </c>
    </row>
    <row r="170" ht="14.25" customHeight="1">
      <c r="A170" s="720"/>
      <c r="B170" s="721" t="s">
        <v>986</v>
      </c>
      <c r="C170" s="722" t="str">
        <f>MEDIAN(C167:C169)</f>
        <v>3594.00</v>
      </c>
      <c r="D170" s="723"/>
      <c r="E170" s="712"/>
      <c r="F170" s="724"/>
    </row>
    <row r="171" ht="14.25" customHeight="1">
      <c r="A171" s="791"/>
      <c r="B171" s="672"/>
      <c r="C171" s="448"/>
      <c r="D171" s="792"/>
      <c r="E171" s="368"/>
      <c r="F171" s="792"/>
    </row>
    <row r="172" ht="14.25" customHeight="1">
      <c r="A172" s="587" t="s">
        <v>294</v>
      </c>
      <c r="B172" s="658" t="s">
        <v>1043</v>
      </c>
      <c r="C172" s="589" t="s">
        <v>46</v>
      </c>
      <c r="D172" s="590"/>
      <c r="E172" s="591"/>
      <c r="F172" s="592"/>
    </row>
    <row r="173" ht="14.25" customHeight="1">
      <c r="A173" s="627" t="s">
        <v>1041</v>
      </c>
      <c r="B173" s="561"/>
      <c r="C173" s="561"/>
      <c r="D173" s="561"/>
      <c r="E173" s="561"/>
      <c r="F173" s="124"/>
    </row>
    <row r="174" ht="14.25" customHeight="1">
      <c r="A174" s="593"/>
      <c r="B174" s="594" t="s">
        <v>918</v>
      </c>
      <c r="C174" s="595" t="s">
        <v>919</v>
      </c>
      <c r="D174" s="596" t="s">
        <v>920</v>
      </c>
      <c r="E174" s="597" t="s">
        <v>921</v>
      </c>
      <c r="F174" s="598" t="s">
        <v>922</v>
      </c>
    </row>
    <row r="175" ht="14.25" customHeight="1">
      <c r="A175" s="663"/>
      <c r="B175" s="688"/>
      <c r="C175" s="601"/>
      <c r="D175" s="693"/>
      <c r="E175" s="605"/>
      <c r="F175" s="603"/>
    </row>
    <row r="176" ht="14.25" customHeight="1">
      <c r="A176" s="663"/>
      <c r="B176" s="220"/>
      <c r="C176" s="601" t="s">
        <v>910</v>
      </c>
      <c r="D176" s="608" t="s">
        <v>910</v>
      </c>
      <c r="E176" s="609" t="s">
        <v>927</v>
      </c>
      <c r="F176" s="782" t="str">
        <f>SUM(F175)</f>
        <v>0.00</v>
      </c>
    </row>
    <row r="177" ht="14.25" customHeight="1">
      <c r="A177" s="663"/>
      <c r="B177" s="690" t="s">
        <v>936</v>
      </c>
      <c r="C177" s="595" t="s">
        <v>919</v>
      </c>
      <c r="D177" s="596" t="s">
        <v>920</v>
      </c>
      <c r="E177" s="597" t="s">
        <v>921</v>
      </c>
      <c r="F177" s="598" t="s">
        <v>922</v>
      </c>
    </row>
    <row r="178" ht="14.25" customHeight="1">
      <c r="A178" s="691" t="s">
        <v>966</v>
      </c>
      <c r="B178" s="783" t="s">
        <v>1044</v>
      </c>
      <c r="C178" s="601" t="s">
        <v>46</v>
      </c>
      <c r="D178" s="693">
        <v>1.0</v>
      </c>
      <c r="E178" s="636" t="str">
        <f>C187</f>
        <v>7,800.00</v>
      </c>
      <c r="F178" s="726" t="str">
        <f t="shared" ref="F178:F179" si="14">TRUNC((D178*E178),2)</f>
        <v>7,800.00</v>
      </c>
      <c r="G178" s="295"/>
    </row>
    <row r="179" ht="29.25" customHeight="1">
      <c r="A179" s="691" t="s">
        <v>1045</v>
      </c>
      <c r="B179" s="783" t="s">
        <v>1046</v>
      </c>
      <c r="C179" s="601" t="s">
        <v>46</v>
      </c>
      <c r="D179" s="693">
        <v>1.0</v>
      </c>
      <c r="E179" s="636" t="str">
        <f>F197</f>
        <v>1,014.00</v>
      </c>
      <c r="F179" s="726" t="str">
        <f t="shared" si="14"/>
        <v>1,014.00</v>
      </c>
      <c r="G179" s="295"/>
    </row>
    <row r="180" ht="14.25" customHeight="1">
      <c r="A180" s="727"/>
      <c r="B180" s="684"/>
      <c r="C180" s="200"/>
      <c r="D180" s="685"/>
      <c r="E180" s="609" t="s">
        <v>927</v>
      </c>
      <c r="F180" s="598" t="str">
        <f>SUM(F178:F179)</f>
        <v>8,814.00</v>
      </c>
    </row>
    <row r="181" ht="14.25" customHeight="1">
      <c r="A181" s="611"/>
      <c r="B181" s="612" t="s">
        <v>928</v>
      </c>
      <c r="C181" s="613"/>
      <c r="D181" s="613"/>
      <c r="E181" s="614"/>
      <c r="F181" s="696" t="str">
        <f>F176+F180</f>
        <v>8,814.00</v>
      </c>
    </row>
    <row r="182" ht="14.25" customHeight="1">
      <c r="A182" s="730"/>
      <c r="B182" s="731" t="s">
        <v>971</v>
      </c>
      <c r="C182" s="732"/>
      <c r="D182" s="732"/>
      <c r="E182" s="733"/>
      <c r="F182" s="734"/>
    </row>
    <row r="183" ht="14.25" customHeight="1">
      <c r="A183" s="735" t="s">
        <v>972</v>
      </c>
      <c r="B183" s="597" t="s">
        <v>973</v>
      </c>
      <c r="C183" s="736" t="s">
        <v>974</v>
      </c>
      <c r="D183" s="737" t="s">
        <v>975</v>
      </c>
      <c r="E183" s="41"/>
      <c r="F183" s="738" t="s">
        <v>976</v>
      </c>
    </row>
    <row r="184" ht="14.25" customHeight="1">
      <c r="A184" s="740">
        <v>44855.0</v>
      </c>
      <c r="B184" s="600" t="s">
        <v>1030</v>
      </c>
      <c r="C184" s="605">
        <v>7800.0</v>
      </c>
      <c r="D184" s="347" t="s">
        <v>1031</v>
      </c>
      <c r="E184" s="41"/>
      <c r="F184" s="741" t="s">
        <v>1032</v>
      </c>
    </row>
    <row r="185" ht="14.25" customHeight="1">
      <c r="A185" s="740">
        <v>44841.0</v>
      </c>
      <c r="B185" s="600" t="s">
        <v>1034</v>
      </c>
      <c r="C185" s="605">
        <v>3200.0</v>
      </c>
      <c r="D185" s="347" t="s">
        <v>1035</v>
      </c>
      <c r="E185" s="41"/>
      <c r="F185" s="741" t="s">
        <v>1036</v>
      </c>
    </row>
    <row r="186" ht="14.25" customHeight="1">
      <c r="A186" s="740">
        <v>44852.0</v>
      </c>
      <c r="B186" s="742" t="s">
        <v>1037</v>
      </c>
      <c r="C186" s="605">
        <v>7872.0</v>
      </c>
      <c r="D186" s="347" t="s">
        <v>1038</v>
      </c>
      <c r="E186" s="41"/>
      <c r="F186" s="790" t="s">
        <v>1039</v>
      </c>
    </row>
    <row r="187" ht="14.25" customHeight="1">
      <c r="A187" s="720"/>
      <c r="B187" s="721" t="s">
        <v>986</v>
      </c>
      <c r="C187" s="722" t="str">
        <f>MEDIAN(C184:C186)</f>
        <v>7800.00</v>
      </c>
      <c r="D187" s="723"/>
      <c r="E187" s="712"/>
      <c r="F187" s="724"/>
    </row>
    <row r="188" ht="14.25" customHeight="1">
      <c r="A188" s="791"/>
      <c r="B188" s="672"/>
      <c r="C188" s="448"/>
      <c r="D188" s="792"/>
      <c r="E188" s="368"/>
      <c r="F188" s="792"/>
    </row>
    <row r="189" ht="14.25" customHeight="1">
      <c r="A189" s="587" t="s">
        <v>1045</v>
      </c>
      <c r="B189" s="658" t="s">
        <v>1047</v>
      </c>
      <c r="C189" s="589" t="s">
        <v>46</v>
      </c>
      <c r="D189" s="590"/>
      <c r="E189" s="591"/>
      <c r="F189" s="592"/>
    </row>
    <row r="190" ht="14.25" customHeight="1">
      <c r="A190" s="627" t="s">
        <v>1041</v>
      </c>
      <c r="B190" s="561"/>
      <c r="C190" s="561"/>
      <c r="D190" s="561"/>
      <c r="E190" s="561"/>
      <c r="F190" s="124"/>
    </row>
    <row r="191" ht="14.25" customHeight="1">
      <c r="A191" s="593"/>
      <c r="B191" s="594" t="s">
        <v>918</v>
      </c>
      <c r="C191" s="595" t="s">
        <v>919</v>
      </c>
      <c r="D191" s="596" t="s">
        <v>920</v>
      </c>
      <c r="E191" s="597" t="s">
        <v>921</v>
      </c>
      <c r="F191" s="598" t="s">
        <v>922</v>
      </c>
    </row>
    <row r="192" ht="14.25" customHeight="1">
      <c r="A192" s="663"/>
      <c r="B192" s="688"/>
      <c r="C192" s="601"/>
      <c r="D192" s="693"/>
      <c r="E192" s="605"/>
      <c r="F192" s="603"/>
    </row>
    <row r="193" ht="14.25" customHeight="1">
      <c r="A193" s="663"/>
      <c r="B193" s="220"/>
      <c r="C193" s="601" t="s">
        <v>910</v>
      </c>
      <c r="D193" s="608" t="s">
        <v>910</v>
      </c>
      <c r="E193" s="609" t="s">
        <v>927</v>
      </c>
      <c r="F193" s="782" t="str">
        <f>SUM(F192)</f>
        <v>0.00</v>
      </c>
    </row>
    <row r="194" ht="14.25" customHeight="1">
      <c r="A194" s="663"/>
      <c r="B194" s="690" t="s">
        <v>936</v>
      </c>
      <c r="C194" s="595" t="s">
        <v>919</v>
      </c>
      <c r="D194" s="596" t="s">
        <v>920</v>
      </c>
      <c r="E194" s="597" t="s">
        <v>921</v>
      </c>
      <c r="F194" s="598" t="s">
        <v>922</v>
      </c>
    </row>
    <row r="195" ht="30.75" customHeight="1">
      <c r="A195" s="691" t="s">
        <v>966</v>
      </c>
      <c r="B195" s="783" t="s">
        <v>1048</v>
      </c>
      <c r="C195" s="601" t="s">
        <v>46</v>
      </c>
      <c r="D195" s="693">
        <v>1.0</v>
      </c>
      <c r="E195" s="636" t="str">
        <f>C203</f>
        <v>1,014.00</v>
      </c>
      <c r="F195" s="726" t="str">
        <f>TRUNC((D195*E195),2)</f>
        <v>1,014.00</v>
      </c>
      <c r="G195" s="799"/>
      <c r="H195" s="204"/>
    </row>
    <row r="196" ht="14.25" customHeight="1">
      <c r="A196" s="727"/>
      <c r="B196" s="684"/>
      <c r="C196" s="200"/>
      <c r="D196" s="685"/>
      <c r="E196" s="609" t="s">
        <v>927</v>
      </c>
      <c r="F196" s="598" t="str">
        <f>SUM(F195)</f>
        <v>1,014.00</v>
      </c>
    </row>
    <row r="197" ht="14.25" customHeight="1">
      <c r="A197" s="611"/>
      <c r="B197" s="612" t="s">
        <v>928</v>
      </c>
      <c r="C197" s="613"/>
      <c r="D197" s="613"/>
      <c r="E197" s="614"/>
      <c r="F197" s="696" t="str">
        <f>F193+F196</f>
        <v>1,014.00</v>
      </c>
    </row>
    <row r="198" ht="14.25" customHeight="1">
      <c r="A198" s="611"/>
      <c r="B198" s="702" t="s">
        <v>971</v>
      </c>
      <c r="C198" s="613"/>
      <c r="D198" s="613"/>
      <c r="E198" s="614"/>
      <c r="F198" s="696"/>
    </row>
    <row r="199" ht="14.25" customHeight="1">
      <c r="A199" s="703" t="s">
        <v>972</v>
      </c>
      <c r="B199" s="704" t="s">
        <v>973</v>
      </c>
      <c r="C199" s="705" t="s">
        <v>974</v>
      </c>
      <c r="D199" s="706" t="s">
        <v>975</v>
      </c>
      <c r="E199" s="555"/>
      <c r="F199" s="707" t="s">
        <v>976</v>
      </c>
    </row>
    <row r="200" ht="14.25" customHeight="1">
      <c r="A200" s="740">
        <v>44852.0</v>
      </c>
      <c r="B200" s="600" t="s">
        <v>1049</v>
      </c>
      <c r="C200" s="605">
        <v>945.0</v>
      </c>
      <c r="D200" s="347" t="s">
        <v>1050</v>
      </c>
      <c r="E200" s="41"/>
      <c r="F200" s="741" t="s">
        <v>1051</v>
      </c>
    </row>
    <row r="201" ht="14.25" customHeight="1">
      <c r="A201" s="740">
        <v>44864.0</v>
      </c>
      <c r="B201" s="600" t="s">
        <v>1052</v>
      </c>
      <c r="C201" s="605">
        <v>1141.36</v>
      </c>
      <c r="D201" s="347" t="s">
        <v>1053</v>
      </c>
      <c r="E201" s="41"/>
      <c r="F201" s="741" t="s">
        <v>1054</v>
      </c>
    </row>
    <row r="202" ht="29.25" customHeight="1">
      <c r="A202" s="740">
        <v>44854.0</v>
      </c>
      <c r="B202" s="742" t="s">
        <v>1055</v>
      </c>
      <c r="C202" s="605">
        <v>1014.0</v>
      </c>
      <c r="D202" s="347" t="s">
        <v>1056</v>
      </c>
      <c r="E202" s="41"/>
      <c r="F202" s="741" t="s">
        <v>1057</v>
      </c>
    </row>
    <row r="203" ht="14.25" customHeight="1">
      <c r="A203" s="720"/>
      <c r="B203" s="721" t="s">
        <v>986</v>
      </c>
      <c r="C203" s="722" t="str">
        <f>MEDIAN(C200:C202)</f>
        <v>1014.00</v>
      </c>
      <c r="D203" s="723"/>
      <c r="E203" s="712"/>
      <c r="F203" s="724"/>
    </row>
    <row r="204" ht="14.25" customHeight="1">
      <c r="A204" s="791"/>
      <c r="B204" s="672"/>
      <c r="C204" s="448"/>
      <c r="D204" s="792"/>
      <c r="E204" s="368"/>
      <c r="F204" s="792"/>
    </row>
    <row r="205" ht="14.25" customHeight="1">
      <c r="A205" s="587" t="s">
        <v>298</v>
      </c>
      <c r="B205" s="658" t="s">
        <v>1058</v>
      </c>
      <c r="C205" s="589" t="s">
        <v>46</v>
      </c>
      <c r="D205" s="590"/>
      <c r="E205" s="591"/>
      <c r="F205" s="592"/>
      <c r="H205" s="467" t="s">
        <v>300</v>
      </c>
    </row>
    <row r="206" ht="14.25" customHeight="1">
      <c r="A206" s="627" t="s">
        <v>1041</v>
      </c>
      <c r="B206" s="561"/>
      <c r="C206" s="561"/>
      <c r="D206" s="561"/>
      <c r="E206" s="561"/>
      <c r="F206" s="124"/>
    </row>
    <row r="207" ht="14.25" customHeight="1">
      <c r="A207" s="593"/>
      <c r="B207" s="594" t="s">
        <v>918</v>
      </c>
      <c r="C207" s="595" t="s">
        <v>919</v>
      </c>
      <c r="D207" s="596" t="s">
        <v>920</v>
      </c>
      <c r="E207" s="597" t="s">
        <v>921</v>
      </c>
      <c r="F207" s="598" t="s">
        <v>922</v>
      </c>
    </row>
    <row r="208" ht="14.25" customHeight="1">
      <c r="A208" s="663"/>
      <c r="B208" s="688"/>
      <c r="C208" s="601"/>
      <c r="D208" s="693"/>
      <c r="E208" s="605"/>
      <c r="F208" s="603"/>
    </row>
    <row r="209" ht="14.25" customHeight="1">
      <c r="A209" s="663"/>
      <c r="B209" s="220"/>
      <c r="C209" s="601" t="s">
        <v>910</v>
      </c>
      <c r="D209" s="608" t="s">
        <v>910</v>
      </c>
      <c r="E209" s="609" t="s">
        <v>927</v>
      </c>
      <c r="F209" s="782" t="str">
        <f>SUM(F208)</f>
        <v>0.00</v>
      </c>
    </row>
    <row r="210" ht="14.25" customHeight="1">
      <c r="A210" s="663"/>
      <c r="B210" s="690" t="s">
        <v>936</v>
      </c>
      <c r="C210" s="595" t="s">
        <v>919</v>
      </c>
      <c r="D210" s="596" t="s">
        <v>920</v>
      </c>
      <c r="E210" s="597" t="s">
        <v>921</v>
      </c>
      <c r="F210" s="598" t="s">
        <v>922</v>
      </c>
    </row>
    <row r="211" ht="25.5" customHeight="1">
      <c r="A211" s="691" t="s">
        <v>966</v>
      </c>
      <c r="B211" s="783" t="s">
        <v>1058</v>
      </c>
      <c r="C211" s="601" t="s">
        <v>46</v>
      </c>
      <c r="D211" s="693">
        <v>1.0</v>
      </c>
      <c r="E211" s="636" t="str">
        <f>C219</f>
        <v>3,840.00</v>
      </c>
      <c r="F211" s="726" t="str">
        <f>TRUNC((D211*E211),2)</f>
        <v>3,840.00</v>
      </c>
    </row>
    <row r="212" ht="14.25" customHeight="1">
      <c r="A212" s="727"/>
      <c r="B212" s="684"/>
      <c r="C212" s="200"/>
      <c r="D212" s="685"/>
      <c r="E212" s="609" t="s">
        <v>927</v>
      </c>
      <c r="F212" s="598" t="str">
        <f>SUM(F211)</f>
        <v>3,840.00</v>
      </c>
    </row>
    <row r="213" ht="14.25" customHeight="1">
      <c r="A213" s="611"/>
      <c r="B213" s="612" t="s">
        <v>928</v>
      </c>
      <c r="C213" s="613"/>
      <c r="D213" s="613"/>
      <c r="E213" s="614"/>
      <c r="F213" s="696" t="str">
        <f>F209+F212</f>
        <v>3,840.00</v>
      </c>
    </row>
    <row r="214" ht="14.25" customHeight="1">
      <c r="A214" s="730"/>
      <c r="B214" s="731" t="s">
        <v>971</v>
      </c>
      <c r="C214" s="732"/>
      <c r="D214" s="732"/>
      <c r="E214" s="733"/>
      <c r="F214" s="734"/>
    </row>
    <row r="215" ht="14.25" customHeight="1">
      <c r="A215" s="735" t="s">
        <v>972</v>
      </c>
      <c r="B215" s="597" t="s">
        <v>973</v>
      </c>
      <c r="C215" s="736" t="s">
        <v>974</v>
      </c>
      <c r="D215" s="737" t="s">
        <v>975</v>
      </c>
      <c r="E215" s="41"/>
      <c r="F215" s="738" t="s">
        <v>976</v>
      </c>
    </row>
    <row r="216" ht="14.25" customHeight="1">
      <c r="A216" s="740">
        <v>44855.0</v>
      </c>
      <c r="B216" s="600" t="s">
        <v>1030</v>
      </c>
      <c r="C216" s="605">
        <v>2000.0</v>
      </c>
      <c r="D216" s="347" t="s">
        <v>1031</v>
      </c>
      <c r="E216" s="41"/>
      <c r="F216" s="741" t="s">
        <v>1032</v>
      </c>
    </row>
    <row r="217" ht="14.25" customHeight="1">
      <c r="A217" s="740">
        <v>44841.0</v>
      </c>
      <c r="B217" s="600" t="s">
        <v>1034</v>
      </c>
      <c r="C217" s="800">
        <v>4000.0</v>
      </c>
      <c r="D217" s="347" t="s">
        <v>1035</v>
      </c>
      <c r="E217" s="41"/>
      <c r="F217" s="741" t="s">
        <v>1036</v>
      </c>
    </row>
    <row r="218" ht="14.25" customHeight="1">
      <c r="A218" s="740">
        <v>44852.0</v>
      </c>
      <c r="B218" s="742" t="s">
        <v>1037</v>
      </c>
      <c r="C218" s="605">
        <v>3840.0</v>
      </c>
      <c r="D218" s="347" t="s">
        <v>1038</v>
      </c>
      <c r="E218" s="41"/>
      <c r="F218" s="790" t="s">
        <v>1039</v>
      </c>
    </row>
    <row r="219" ht="14.25" customHeight="1">
      <c r="A219" s="720"/>
      <c r="B219" s="721" t="s">
        <v>986</v>
      </c>
      <c r="C219" s="722" t="str">
        <f>MEDIAN(C216:C218)</f>
        <v>3840.00</v>
      </c>
      <c r="D219" s="723"/>
      <c r="E219" s="712"/>
      <c r="F219" s="724"/>
    </row>
    <row r="220" ht="14.25" customHeight="1">
      <c r="A220" s="801"/>
      <c r="B220" s="744"/>
      <c r="C220" s="745"/>
      <c r="D220" s="624"/>
      <c r="E220" s="624"/>
      <c r="F220" s="335"/>
    </row>
    <row r="221" ht="14.25" customHeight="1">
      <c r="A221" s="587" t="s">
        <v>206</v>
      </c>
      <c r="B221" s="658" t="s">
        <v>207</v>
      </c>
      <c r="C221" s="589" t="s">
        <v>53</v>
      </c>
      <c r="D221" s="590"/>
      <c r="E221" s="591"/>
      <c r="F221" s="626"/>
    </row>
    <row r="222" ht="14.25" customHeight="1">
      <c r="A222" s="627" t="s">
        <v>1059</v>
      </c>
      <c r="B222" s="561"/>
      <c r="C222" s="561"/>
      <c r="D222" s="561"/>
      <c r="E222" s="561"/>
      <c r="F222" s="124"/>
    </row>
    <row r="223" ht="14.25" customHeight="1">
      <c r="A223" s="660"/>
      <c r="B223" s="661" t="s">
        <v>918</v>
      </c>
      <c r="C223" s="595" t="s">
        <v>919</v>
      </c>
      <c r="D223" s="596" t="s">
        <v>920</v>
      </c>
      <c r="E223" s="597" t="s">
        <v>921</v>
      </c>
      <c r="F223" s="662" t="s">
        <v>922</v>
      </c>
    </row>
    <row r="224" ht="14.25" customHeight="1">
      <c r="A224" s="634">
        <v>88316.0</v>
      </c>
      <c r="B224" s="688" t="s">
        <v>935</v>
      </c>
      <c r="C224" s="601" t="s">
        <v>924</v>
      </c>
      <c r="D224" s="636">
        <v>0.75</v>
      </c>
      <c r="E224" s="605">
        <v>19.45</v>
      </c>
      <c r="F224" s="666" t="str">
        <f>TRUNC((D224*E224),2)</f>
        <v>14.58</v>
      </c>
    </row>
    <row r="225" ht="14.25" customHeight="1">
      <c r="A225" s="668"/>
      <c r="B225" s="669"/>
      <c r="C225" s="607" t="s">
        <v>910</v>
      </c>
      <c r="D225" s="608" t="s">
        <v>910</v>
      </c>
      <c r="E225" s="609" t="s">
        <v>927</v>
      </c>
      <c r="F225" s="662" t="str">
        <f>SUM(F224)</f>
        <v>14.58</v>
      </c>
    </row>
    <row r="226" ht="14.25" customHeight="1">
      <c r="A226" s="668"/>
      <c r="B226" s="661" t="s">
        <v>936</v>
      </c>
      <c r="C226" s="595" t="s">
        <v>919</v>
      </c>
      <c r="D226" s="596" t="s">
        <v>920</v>
      </c>
      <c r="E226" s="597" t="s">
        <v>921</v>
      </c>
      <c r="F226" s="662" t="s">
        <v>922</v>
      </c>
    </row>
    <row r="227" ht="14.25" customHeight="1">
      <c r="A227" s="645"/>
      <c r="B227" s="684"/>
      <c r="C227" s="601"/>
      <c r="D227" s="802"/>
      <c r="E227" s="802"/>
      <c r="F227" s="726" t="str">
        <f>TRUNC((D227*E227),2)</f>
        <v>0.00</v>
      </c>
    </row>
    <row r="228" ht="14.25" customHeight="1">
      <c r="A228" s="803"/>
      <c r="B228" s="804"/>
      <c r="C228" s="187"/>
      <c r="D228" s="805"/>
      <c r="E228" s="806" t="s">
        <v>927</v>
      </c>
      <c r="F228" s="807" t="str">
        <f>SUM(F227)</f>
        <v>0.00</v>
      </c>
    </row>
    <row r="229" ht="14.25" customHeight="1">
      <c r="A229" s="616"/>
      <c r="B229" s="808" t="s">
        <v>928</v>
      </c>
      <c r="C229" s="28"/>
      <c r="D229" s="28"/>
      <c r="E229" s="618"/>
      <c r="F229" s="619" t="str">
        <f>F225+F228</f>
        <v>14.58</v>
      </c>
    </row>
    <row r="230" ht="14.25" customHeight="1">
      <c r="A230" s="801"/>
      <c r="B230" s="744"/>
      <c r="C230" s="745"/>
      <c r="D230" s="624"/>
      <c r="E230" s="624"/>
      <c r="F230" s="335"/>
    </row>
    <row r="231" ht="39.75" customHeight="1">
      <c r="A231" s="587" t="s">
        <v>219</v>
      </c>
      <c r="B231" s="658" t="s">
        <v>220</v>
      </c>
      <c r="C231" s="589" t="s">
        <v>69</v>
      </c>
      <c r="D231" s="590"/>
      <c r="E231" s="591"/>
      <c r="F231" s="626"/>
    </row>
    <row r="232" ht="14.25" customHeight="1">
      <c r="A232" s="627" t="s">
        <v>1060</v>
      </c>
      <c r="B232" s="561"/>
      <c r="C232" s="561"/>
      <c r="D232" s="561"/>
      <c r="E232" s="561"/>
      <c r="F232" s="124"/>
    </row>
    <row r="233" ht="14.25" customHeight="1">
      <c r="A233" s="660"/>
      <c r="B233" s="661" t="s">
        <v>918</v>
      </c>
      <c r="C233" s="595" t="s">
        <v>919</v>
      </c>
      <c r="D233" s="596" t="s">
        <v>920</v>
      </c>
      <c r="E233" s="597" t="s">
        <v>921</v>
      </c>
      <c r="F233" s="662" t="s">
        <v>922</v>
      </c>
    </row>
    <row r="234" ht="14.25" customHeight="1">
      <c r="A234" s="634">
        <v>88316.0</v>
      </c>
      <c r="B234" s="688" t="s">
        <v>935</v>
      </c>
      <c r="C234" s="601" t="s">
        <v>924</v>
      </c>
      <c r="D234" s="693">
        <v>0.031</v>
      </c>
      <c r="E234" s="605">
        <v>19.45</v>
      </c>
      <c r="F234" s="666" t="str">
        <f t="shared" ref="F234:F235" si="15">TRUNC((D234*E234),2)</f>
        <v>0.60</v>
      </c>
    </row>
    <row r="235" ht="14.25" customHeight="1">
      <c r="A235" s="634">
        <v>88256.0</v>
      </c>
      <c r="B235" s="600" t="s">
        <v>1061</v>
      </c>
      <c r="C235" s="601" t="s">
        <v>924</v>
      </c>
      <c r="D235" s="693">
        <v>0.085</v>
      </c>
      <c r="E235" s="636">
        <v>24.49</v>
      </c>
      <c r="F235" s="666" t="str">
        <f t="shared" si="15"/>
        <v>2.08</v>
      </c>
    </row>
    <row r="236" ht="14.25" customHeight="1">
      <c r="A236" s="668"/>
      <c r="B236" s="669"/>
      <c r="C236" s="607" t="s">
        <v>910</v>
      </c>
      <c r="D236" s="608" t="s">
        <v>910</v>
      </c>
      <c r="E236" s="609" t="s">
        <v>927</v>
      </c>
      <c r="F236" s="662" t="str">
        <f>SUM(F234:F235)</f>
        <v>2.68</v>
      </c>
    </row>
    <row r="237" ht="15.0" customHeight="1">
      <c r="A237" s="668"/>
      <c r="B237" s="661" t="s">
        <v>936</v>
      </c>
      <c r="C237" s="595" t="s">
        <v>919</v>
      </c>
      <c r="D237" s="596" t="s">
        <v>920</v>
      </c>
      <c r="E237" s="597" t="s">
        <v>921</v>
      </c>
      <c r="F237" s="662" t="s">
        <v>922</v>
      </c>
    </row>
    <row r="238" ht="15.0" customHeight="1">
      <c r="A238" s="497">
        <v>1381.0</v>
      </c>
      <c r="B238" s="604" t="s">
        <v>1062</v>
      </c>
      <c r="C238" s="809" t="s">
        <v>107</v>
      </c>
      <c r="D238" s="810">
        <v>0.603</v>
      </c>
      <c r="E238" s="811">
        <v>1.0</v>
      </c>
      <c r="F238" s="666" t="str">
        <f t="shared" ref="F238:F240" si="16">TRUNC((D238*E238),2)</f>
        <v>0.60</v>
      </c>
    </row>
    <row r="239" ht="15.0" customHeight="1">
      <c r="A239" s="497">
        <v>34357.0</v>
      </c>
      <c r="B239" s="604" t="s">
        <v>1063</v>
      </c>
      <c r="C239" s="809" t="s">
        <v>107</v>
      </c>
      <c r="D239" s="810">
        <v>0.084</v>
      </c>
      <c r="E239" s="812">
        <v>5.87</v>
      </c>
      <c r="F239" s="666" t="str">
        <f t="shared" si="16"/>
        <v>0.49</v>
      </c>
    </row>
    <row r="240" ht="42.0" customHeight="1">
      <c r="A240" s="174">
        <v>87261.0</v>
      </c>
      <c r="B240" s="600" t="s">
        <v>213</v>
      </c>
      <c r="C240" s="809" t="s">
        <v>53</v>
      </c>
      <c r="D240" s="810">
        <v>0.4028</v>
      </c>
      <c r="E240" s="812">
        <v>184.04</v>
      </c>
      <c r="F240" s="666" t="str">
        <f t="shared" si="16"/>
        <v>74.13</v>
      </c>
    </row>
    <row r="241" ht="14.25" customHeight="1">
      <c r="A241" s="803"/>
      <c r="B241" s="804"/>
      <c r="C241" s="187"/>
      <c r="D241" s="805"/>
      <c r="E241" s="806" t="s">
        <v>927</v>
      </c>
      <c r="F241" s="807" t="str">
        <f>SUM(F238:F240)</f>
        <v>75.22</v>
      </c>
    </row>
    <row r="242" ht="14.25" customHeight="1">
      <c r="A242" s="616"/>
      <c r="B242" s="808" t="s">
        <v>928</v>
      </c>
      <c r="C242" s="28"/>
      <c r="D242" s="28"/>
      <c r="E242" s="618"/>
      <c r="F242" s="619" t="str">
        <f>F236+F241</f>
        <v>77.90</v>
      </c>
    </row>
    <row r="243" ht="45.75" customHeight="1">
      <c r="A243" s="813"/>
      <c r="B243" s="814" t="s">
        <v>1064</v>
      </c>
      <c r="C243" s="814"/>
      <c r="D243" s="815"/>
      <c r="E243" s="28"/>
      <c r="F243" s="816"/>
    </row>
    <row r="244" ht="14.25" customHeight="1">
      <c r="A244" s="130"/>
      <c r="B244" s="772"/>
      <c r="C244" s="323"/>
      <c r="D244" s="255"/>
      <c r="E244" s="93"/>
      <c r="F244" s="771"/>
    </row>
    <row r="245" ht="28.5" customHeight="1">
      <c r="A245" s="587" t="s">
        <v>663</v>
      </c>
      <c r="B245" s="658" t="s">
        <v>1065</v>
      </c>
      <c r="C245" s="589" t="s">
        <v>46</v>
      </c>
      <c r="D245" s="590"/>
      <c r="E245" s="590"/>
      <c r="F245" s="659"/>
    </row>
    <row r="246" ht="14.25" customHeight="1">
      <c r="A246" s="817" t="s">
        <v>1066</v>
      </c>
      <c r="B246" s="561"/>
      <c r="C246" s="561"/>
      <c r="D246" s="561"/>
      <c r="E246" s="561"/>
      <c r="F246" s="124"/>
    </row>
    <row r="247" ht="27.0" customHeight="1">
      <c r="A247" s="660"/>
      <c r="B247" s="661" t="s">
        <v>918</v>
      </c>
      <c r="C247" s="595" t="s">
        <v>919</v>
      </c>
      <c r="D247" s="596" t="s">
        <v>920</v>
      </c>
      <c r="E247" s="632" t="s">
        <v>921</v>
      </c>
      <c r="F247" s="662" t="s">
        <v>922</v>
      </c>
    </row>
    <row r="248" ht="14.25" customHeight="1">
      <c r="A248" s="663">
        <v>88267.0</v>
      </c>
      <c r="B248" s="635" t="s">
        <v>1002</v>
      </c>
      <c r="C248" s="601" t="s">
        <v>924</v>
      </c>
      <c r="D248" s="665">
        <v>0.9485</v>
      </c>
      <c r="E248" s="636">
        <v>24.64</v>
      </c>
      <c r="F248" s="666" t="str">
        <f t="shared" ref="F248:F249" si="17">TRUNC((D248*E248),2)</f>
        <v>23.37</v>
      </c>
    </row>
    <row r="249" ht="14.25" customHeight="1">
      <c r="A249" s="667">
        <v>88316.0</v>
      </c>
      <c r="B249" s="335" t="s">
        <v>935</v>
      </c>
      <c r="C249" s="601" t="s">
        <v>924</v>
      </c>
      <c r="D249" s="665">
        <v>0.2988</v>
      </c>
      <c r="E249" s="605">
        <v>19.45</v>
      </c>
      <c r="F249" s="666" t="str">
        <f t="shared" si="17"/>
        <v>5.81</v>
      </c>
      <c r="H249" s="751"/>
    </row>
    <row r="250" ht="15.0" customHeight="1">
      <c r="A250" s="668"/>
      <c r="B250" s="669"/>
      <c r="C250" s="607" t="s">
        <v>910</v>
      </c>
      <c r="D250" s="608" t="s">
        <v>910</v>
      </c>
      <c r="E250" s="818" t="s">
        <v>927</v>
      </c>
      <c r="F250" s="670" t="str">
        <f>SUM(F248:F249)</f>
        <v>29.18</v>
      </c>
      <c r="H250" s="750"/>
    </row>
    <row r="251" ht="14.25" customHeight="1">
      <c r="A251" s="668"/>
      <c r="B251" s="661" t="s">
        <v>936</v>
      </c>
      <c r="C251" s="595" t="s">
        <v>919</v>
      </c>
      <c r="D251" s="596" t="s">
        <v>920</v>
      </c>
      <c r="E251" s="597" t="s">
        <v>921</v>
      </c>
      <c r="F251" s="662" t="s">
        <v>922</v>
      </c>
    </row>
    <row r="252" ht="14.25" customHeight="1">
      <c r="A252" s="663">
        <v>36080.0</v>
      </c>
      <c r="B252" s="635" t="s">
        <v>1067</v>
      </c>
      <c r="C252" s="601" t="s">
        <v>46</v>
      </c>
      <c r="D252" s="673">
        <v>1.0</v>
      </c>
      <c r="E252" s="636">
        <v>169.0</v>
      </c>
      <c r="F252" s="666" t="str">
        <f t="shared" ref="F252:F253" si="18">TRUNC((D252*E252),2)</f>
        <v>169.00</v>
      </c>
    </row>
    <row r="253" ht="14.25" customHeight="1">
      <c r="A253" s="748">
        <v>4351.0</v>
      </c>
      <c r="B253" s="635" t="s">
        <v>1004</v>
      </c>
      <c r="C253" s="601" t="s">
        <v>46</v>
      </c>
      <c r="D253" s="673">
        <v>6.0</v>
      </c>
      <c r="E253" s="636">
        <v>18.56</v>
      </c>
      <c r="F253" s="666" t="str">
        <f t="shared" si="18"/>
        <v>111.36</v>
      </c>
    </row>
    <row r="254" ht="14.25" customHeight="1">
      <c r="A254" s="599"/>
      <c r="B254" s="684"/>
      <c r="C254" s="200"/>
      <c r="D254" s="685"/>
      <c r="E254" s="609" t="s">
        <v>927</v>
      </c>
      <c r="F254" s="610" t="str">
        <f>SUM(F252:F253)</f>
        <v>280.36</v>
      </c>
    </row>
    <row r="255" ht="14.25" customHeight="1">
      <c r="A255" s="611"/>
      <c r="B255" s="819" t="s">
        <v>928</v>
      </c>
      <c r="C255" s="127"/>
      <c r="D255" s="127"/>
      <c r="E255" s="687"/>
      <c r="F255" s="615" t="str">
        <f>F250+F254</f>
        <v>309.54</v>
      </c>
    </row>
    <row r="256" ht="14.25" customHeight="1">
      <c r="B256" s="448"/>
    </row>
    <row r="257" ht="28.5" customHeight="1">
      <c r="A257" s="657" t="s">
        <v>666</v>
      </c>
      <c r="B257" s="658" t="s">
        <v>667</v>
      </c>
      <c r="C257" s="589" t="s">
        <v>46</v>
      </c>
      <c r="D257" s="590"/>
      <c r="E257" s="590"/>
      <c r="F257" s="659"/>
    </row>
    <row r="258" ht="14.25" customHeight="1">
      <c r="A258" s="627" t="s">
        <v>1068</v>
      </c>
      <c r="B258" s="561"/>
      <c r="C258" s="561"/>
      <c r="D258" s="561"/>
      <c r="E258" s="561"/>
      <c r="F258" s="124"/>
    </row>
    <row r="259" ht="29.25" customHeight="1">
      <c r="A259" s="593"/>
      <c r="B259" s="594" t="s">
        <v>918</v>
      </c>
      <c r="C259" s="595" t="s">
        <v>919</v>
      </c>
      <c r="D259" s="596" t="s">
        <v>920</v>
      </c>
      <c r="E259" s="597" t="s">
        <v>921</v>
      </c>
      <c r="F259" s="598" t="s">
        <v>922</v>
      </c>
    </row>
    <row r="260" ht="26.25" customHeight="1">
      <c r="A260" s="820">
        <v>88267.0</v>
      </c>
      <c r="B260" s="821" t="s">
        <v>1002</v>
      </c>
      <c r="C260" s="822" t="s">
        <v>924</v>
      </c>
      <c r="D260" s="823">
        <v>0.9485</v>
      </c>
      <c r="E260" s="636">
        <v>24.64</v>
      </c>
      <c r="F260" s="824" t="str">
        <f t="shared" ref="F260:F261" si="19">TRUNC((D260*E260),2)</f>
        <v>23.37</v>
      </c>
    </row>
    <row r="261" ht="14.25" customHeight="1">
      <c r="A261" s="667">
        <v>88316.0</v>
      </c>
      <c r="B261" s="335" t="s">
        <v>935</v>
      </c>
      <c r="C261" s="601" t="s">
        <v>924</v>
      </c>
      <c r="D261" s="665">
        <v>0.2988</v>
      </c>
      <c r="E261" s="605">
        <v>19.45</v>
      </c>
      <c r="F261" s="666" t="str">
        <f t="shared" si="19"/>
        <v>5.81</v>
      </c>
    </row>
    <row r="262" ht="14.25" customHeight="1">
      <c r="A262" s="668"/>
      <c r="B262" s="669"/>
      <c r="C262" s="607" t="s">
        <v>910</v>
      </c>
      <c r="D262" s="608" t="s">
        <v>910</v>
      </c>
      <c r="E262" s="818" t="s">
        <v>927</v>
      </c>
      <c r="F262" s="670" t="str">
        <f>SUM(F260:F261)</f>
        <v>29.18</v>
      </c>
    </row>
    <row r="263" ht="14.25" customHeight="1">
      <c r="A263" s="668"/>
      <c r="B263" s="661" t="s">
        <v>936</v>
      </c>
      <c r="C263" s="595" t="s">
        <v>919</v>
      </c>
      <c r="D263" s="596" t="s">
        <v>920</v>
      </c>
      <c r="E263" s="597" t="s">
        <v>921</v>
      </c>
      <c r="F263" s="662" t="s">
        <v>922</v>
      </c>
    </row>
    <row r="264" ht="14.25" customHeight="1">
      <c r="A264" s="663">
        <v>36220.0</v>
      </c>
      <c r="B264" s="635" t="s">
        <v>1067</v>
      </c>
      <c r="C264" s="601" t="s">
        <v>46</v>
      </c>
      <c r="D264" s="673">
        <v>1.0</v>
      </c>
      <c r="E264" s="636">
        <v>156.24</v>
      </c>
      <c r="F264" s="666" t="str">
        <f t="shared" ref="F264:F265" si="20">TRUNC((D264*E264),2)</f>
        <v>156.24</v>
      </c>
    </row>
    <row r="265" ht="14.25" customHeight="1">
      <c r="A265" s="748">
        <v>4351.0</v>
      </c>
      <c r="B265" s="635" t="s">
        <v>1004</v>
      </c>
      <c r="C265" s="601" t="s">
        <v>46</v>
      </c>
      <c r="D265" s="673">
        <v>6.0</v>
      </c>
      <c r="E265" s="636">
        <v>18.56</v>
      </c>
      <c r="F265" s="666" t="str">
        <f t="shared" si="20"/>
        <v>111.36</v>
      </c>
    </row>
    <row r="266" ht="18.0" customHeight="1">
      <c r="A266" s="599"/>
      <c r="B266" s="684"/>
      <c r="C266" s="200"/>
      <c r="D266" s="685"/>
      <c r="E266" s="609" t="s">
        <v>927</v>
      </c>
      <c r="F266" s="610" t="str">
        <f>SUM(F264:F265)</f>
        <v>267.60</v>
      </c>
    </row>
    <row r="267" ht="14.25" customHeight="1">
      <c r="A267" s="611"/>
      <c r="B267" s="819" t="s">
        <v>928</v>
      </c>
      <c r="C267" s="127"/>
      <c r="D267" s="127"/>
      <c r="E267" s="687"/>
      <c r="F267" s="615" t="str">
        <f>F262+F266</f>
        <v>296.78</v>
      </c>
    </row>
    <row r="268" ht="14.25" customHeight="1">
      <c r="A268" s="624"/>
      <c r="B268" s="624"/>
      <c r="C268" s="624"/>
      <c r="D268" s="624"/>
      <c r="E268" s="624"/>
      <c r="F268" s="624"/>
    </row>
    <row r="269" ht="14.25" customHeight="1">
      <c r="A269" s="657" t="s">
        <v>671</v>
      </c>
      <c r="B269" s="658" t="s">
        <v>672</v>
      </c>
      <c r="C269" s="589" t="s">
        <v>53</v>
      </c>
      <c r="D269" s="590"/>
      <c r="E269" s="590"/>
      <c r="F269" s="659"/>
    </row>
    <row r="270" ht="15.0" customHeight="1">
      <c r="A270" s="627" t="s">
        <v>1069</v>
      </c>
      <c r="B270" s="561"/>
      <c r="C270" s="561"/>
      <c r="D270" s="561"/>
      <c r="E270" s="561"/>
      <c r="F270" s="124"/>
    </row>
    <row r="271" ht="14.25" customHeight="1">
      <c r="A271" s="660"/>
      <c r="B271" s="661" t="s">
        <v>918</v>
      </c>
      <c r="C271" s="595" t="s">
        <v>919</v>
      </c>
      <c r="D271" s="596" t="s">
        <v>920</v>
      </c>
      <c r="E271" s="632" t="s">
        <v>921</v>
      </c>
      <c r="F271" s="662" t="s">
        <v>922</v>
      </c>
    </row>
    <row r="272" ht="14.25" customHeight="1">
      <c r="A272" s="634">
        <v>88262.0</v>
      </c>
      <c r="B272" s="825" t="s">
        <v>934</v>
      </c>
      <c r="C272" s="756" t="s">
        <v>924</v>
      </c>
      <c r="D272" s="757">
        <v>2.5</v>
      </c>
      <c r="E272" s="826">
        <v>24.32</v>
      </c>
      <c r="F272" s="666" t="str">
        <f t="shared" ref="F272:F273" si="21">TRUNC((D272*E272),2)</f>
        <v>60.80</v>
      </c>
    </row>
    <row r="273" ht="14.25" customHeight="1">
      <c r="A273" s="827">
        <v>88239.0</v>
      </c>
      <c r="B273" s="600" t="s">
        <v>1070</v>
      </c>
      <c r="C273" s="601" t="s">
        <v>924</v>
      </c>
      <c r="D273" s="665">
        <v>2.5</v>
      </c>
      <c r="E273" s="636">
        <v>20.55</v>
      </c>
      <c r="F273" s="673" t="str">
        <f t="shared" si="21"/>
        <v>51.37</v>
      </c>
    </row>
    <row r="274" ht="14.25" customHeight="1">
      <c r="A274" s="668"/>
      <c r="B274" s="669"/>
      <c r="C274" s="607" t="s">
        <v>910</v>
      </c>
      <c r="D274" s="608" t="s">
        <v>910</v>
      </c>
      <c r="E274" s="609" t="s">
        <v>927</v>
      </c>
      <c r="F274" s="670" t="str">
        <f>SUM(F272:F273)</f>
        <v>112.17</v>
      </c>
    </row>
    <row r="275" ht="14.25" customHeight="1">
      <c r="A275" s="668"/>
      <c r="B275" s="661" t="s">
        <v>936</v>
      </c>
      <c r="C275" s="595" t="s">
        <v>919</v>
      </c>
      <c r="D275" s="596" t="s">
        <v>920</v>
      </c>
      <c r="E275" s="632" t="s">
        <v>921</v>
      </c>
      <c r="F275" s="662" t="s">
        <v>922</v>
      </c>
    </row>
    <row r="276" ht="19.5" customHeight="1">
      <c r="A276" s="663">
        <v>584.0</v>
      </c>
      <c r="B276" s="600" t="s">
        <v>1071</v>
      </c>
      <c r="C276" s="601" t="s">
        <v>69</v>
      </c>
      <c r="D276" s="673">
        <v>3.5</v>
      </c>
      <c r="E276" s="636">
        <v>35.0</v>
      </c>
      <c r="F276" s="666" t="str">
        <f t="shared" ref="F276:F279" si="22">TRUNC((D276*E276),2)</f>
        <v>122.50</v>
      </c>
    </row>
    <row r="277" ht="14.25" customHeight="1">
      <c r="A277" s="663">
        <v>4358.0</v>
      </c>
      <c r="B277" s="600" t="s">
        <v>1072</v>
      </c>
      <c r="C277" s="601" t="s">
        <v>46</v>
      </c>
      <c r="D277" s="673">
        <v>2.5</v>
      </c>
      <c r="E277" s="636">
        <v>2.26</v>
      </c>
      <c r="F277" s="666" t="str">
        <f t="shared" si="22"/>
        <v>5.65</v>
      </c>
    </row>
    <row r="278" ht="14.25" customHeight="1">
      <c r="A278" s="663">
        <v>11134.0</v>
      </c>
      <c r="B278" s="600" t="s">
        <v>1073</v>
      </c>
      <c r="C278" s="601" t="s">
        <v>53</v>
      </c>
      <c r="D278" s="673">
        <v>1.1</v>
      </c>
      <c r="E278" s="636">
        <v>110.43</v>
      </c>
      <c r="F278" s="666" t="str">
        <f t="shared" si="22"/>
        <v>121.47</v>
      </c>
    </row>
    <row r="279" ht="14.25" customHeight="1">
      <c r="A279" s="663">
        <v>11186.0</v>
      </c>
      <c r="B279" s="600" t="s">
        <v>1074</v>
      </c>
      <c r="C279" s="601" t="s">
        <v>53</v>
      </c>
      <c r="D279" s="673">
        <v>1.1</v>
      </c>
      <c r="E279" s="636">
        <v>668.87</v>
      </c>
      <c r="F279" s="666" t="str">
        <f t="shared" si="22"/>
        <v>735.75</v>
      </c>
    </row>
    <row r="280" ht="14.25" customHeight="1">
      <c r="A280" s="599"/>
      <c r="B280" s="684"/>
      <c r="C280" s="200"/>
      <c r="D280" s="685"/>
      <c r="E280" s="609" t="s">
        <v>927</v>
      </c>
      <c r="F280" s="610" t="str">
        <f>SUM(F276:F279)</f>
        <v>985.37</v>
      </c>
    </row>
    <row r="281" ht="14.25" customHeight="1">
      <c r="A281" s="611"/>
      <c r="B281" s="819" t="s">
        <v>928</v>
      </c>
      <c r="C281" s="127"/>
      <c r="D281" s="127"/>
      <c r="E281" s="687"/>
      <c r="F281" s="615" t="str">
        <f>F274+F280</f>
        <v>1,097.54</v>
      </c>
    </row>
    <row r="282" ht="14.25" customHeight="1">
      <c r="A282" s="624"/>
      <c r="B282" s="624"/>
      <c r="C282" s="624"/>
      <c r="D282" s="624"/>
      <c r="E282" s="624"/>
      <c r="F282" s="624"/>
    </row>
    <row r="283" ht="14.25" customHeight="1">
      <c r="A283" s="657" t="s">
        <v>674</v>
      </c>
      <c r="B283" s="746" t="s">
        <v>675</v>
      </c>
      <c r="C283" s="828" t="s">
        <v>46</v>
      </c>
      <c r="D283" s="829"/>
      <c r="E283" s="830"/>
      <c r="F283" s="831"/>
    </row>
    <row r="284" ht="15.0" customHeight="1">
      <c r="A284" s="627" t="s">
        <v>1075</v>
      </c>
      <c r="B284" s="561"/>
      <c r="C284" s="561"/>
      <c r="D284" s="561"/>
      <c r="E284" s="561"/>
      <c r="F284" s="124"/>
      <c r="I284" s="204"/>
      <c r="J284" s="204"/>
    </row>
    <row r="285" ht="14.25" customHeight="1">
      <c r="A285" s="660"/>
      <c r="B285" s="661" t="s">
        <v>918</v>
      </c>
      <c r="C285" s="595" t="s">
        <v>919</v>
      </c>
      <c r="D285" s="596" t="s">
        <v>920</v>
      </c>
      <c r="E285" s="632" t="s">
        <v>921</v>
      </c>
      <c r="F285" s="662" t="s">
        <v>922</v>
      </c>
    </row>
    <row r="286" ht="17.25" customHeight="1">
      <c r="A286" s="663">
        <v>88309.0</v>
      </c>
      <c r="B286" s="688" t="s">
        <v>964</v>
      </c>
      <c r="C286" s="601" t="s">
        <v>924</v>
      </c>
      <c r="D286" s="665">
        <v>0.4</v>
      </c>
      <c r="E286" s="175">
        <v>24.59</v>
      </c>
      <c r="F286" s="666" t="str">
        <f t="shared" ref="F286:F287" si="23">TRUNC((D286*E286),2)</f>
        <v>9.83</v>
      </c>
    </row>
    <row r="287" ht="16.5" customHeight="1">
      <c r="A287" s="667">
        <v>88316.0</v>
      </c>
      <c r="B287" s="832" t="s">
        <v>935</v>
      </c>
      <c r="C287" s="601" t="s">
        <v>924</v>
      </c>
      <c r="D287" s="665">
        <v>0.4</v>
      </c>
      <c r="E287" s="605">
        <v>19.45</v>
      </c>
      <c r="F287" s="666" t="str">
        <f t="shared" si="23"/>
        <v>7.78</v>
      </c>
    </row>
    <row r="288" ht="14.25" customHeight="1">
      <c r="A288" s="668"/>
      <c r="B288" s="669"/>
      <c r="C288" s="607" t="s">
        <v>910</v>
      </c>
      <c r="D288" s="608" t="s">
        <v>910</v>
      </c>
      <c r="E288" s="609" t="s">
        <v>927</v>
      </c>
      <c r="F288" s="670" t="str">
        <f>SUM(F286:F287)</f>
        <v>17.61</v>
      </c>
    </row>
    <row r="289" ht="14.25" customHeight="1">
      <c r="A289" s="668"/>
      <c r="B289" s="661" t="s">
        <v>936</v>
      </c>
      <c r="C289" s="833" t="s">
        <v>919</v>
      </c>
      <c r="D289" s="834" t="s">
        <v>920</v>
      </c>
      <c r="E289" s="835" t="s">
        <v>921</v>
      </c>
      <c r="F289" s="662" t="s">
        <v>922</v>
      </c>
    </row>
    <row r="290" ht="24.75" customHeight="1">
      <c r="A290" s="663">
        <v>37400.0</v>
      </c>
      <c r="B290" s="600" t="s">
        <v>1076</v>
      </c>
      <c r="C290" s="601" t="s">
        <v>46</v>
      </c>
      <c r="D290" s="673">
        <v>1.0</v>
      </c>
      <c r="E290" s="636">
        <v>67.44</v>
      </c>
      <c r="F290" s="603" t="str">
        <f>TRUNC((D290*E290),2)</f>
        <v>67.44</v>
      </c>
    </row>
    <row r="291" ht="14.25" customHeight="1">
      <c r="A291" s="599"/>
      <c r="B291" s="684"/>
      <c r="C291" s="200"/>
      <c r="D291" s="685"/>
      <c r="E291" s="609" t="s">
        <v>927</v>
      </c>
      <c r="F291" s="610" t="str">
        <f>SUM(F290)</f>
        <v>67.44</v>
      </c>
    </row>
    <row r="292" ht="14.25" customHeight="1">
      <c r="A292" s="611"/>
      <c r="B292" s="819" t="s">
        <v>928</v>
      </c>
      <c r="C292" s="127"/>
      <c r="D292" s="127"/>
      <c r="E292" s="687"/>
      <c r="F292" s="615" t="str">
        <f>F288+F291</f>
        <v>85.05</v>
      </c>
    </row>
    <row r="293" ht="14.25" customHeight="1"/>
    <row r="294" ht="14.25" customHeight="1">
      <c r="A294" s="657" t="s">
        <v>677</v>
      </c>
      <c r="B294" s="746" t="s">
        <v>678</v>
      </c>
      <c r="C294" s="828" t="s">
        <v>46</v>
      </c>
      <c r="D294" s="829"/>
      <c r="E294" s="830"/>
      <c r="F294" s="831"/>
    </row>
    <row r="295" ht="14.25" customHeight="1">
      <c r="A295" s="627" t="s">
        <v>1077</v>
      </c>
      <c r="B295" s="561"/>
      <c r="C295" s="561"/>
      <c r="D295" s="561"/>
      <c r="E295" s="561"/>
      <c r="F295" s="124"/>
    </row>
    <row r="296" ht="14.25" customHeight="1">
      <c r="A296" s="660"/>
      <c r="B296" s="661" t="s">
        <v>918</v>
      </c>
      <c r="C296" s="595" t="s">
        <v>919</v>
      </c>
      <c r="D296" s="596" t="s">
        <v>920</v>
      </c>
      <c r="E296" s="632" t="s">
        <v>921</v>
      </c>
      <c r="F296" s="662" t="s">
        <v>922</v>
      </c>
    </row>
    <row r="297" ht="14.25" customHeight="1">
      <c r="A297" s="663">
        <v>88309.0</v>
      </c>
      <c r="B297" s="688" t="s">
        <v>964</v>
      </c>
      <c r="C297" s="601" t="s">
        <v>924</v>
      </c>
      <c r="D297" s="665">
        <v>0.4</v>
      </c>
      <c r="E297" s="175">
        <v>24.59</v>
      </c>
      <c r="F297" s="666" t="str">
        <f t="shared" ref="F297:F298" si="24">TRUNC((D297*E297),2)</f>
        <v>9.83</v>
      </c>
    </row>
    <row r="298" ht="14.25" customHeight="1">
      <c r="A298" s="667">
        <v>88316.0</v>
      </c>
      <c r="B298" s="832" t="s">
        <v>935</v>
      </c>
      <c r="C298" s="601" t="s">
        <v>924</v>
      </c>
      <c r="D298" s="665">
        <v>0.4</v>
      </c>
      <c r="E298" s="605">
        <v>19.45</v>
      </c>
      <c r="F298" s="666" t="str">
        <f t="shared" si="24"/>
        <v>7.78</v>
      </c>
    </row>
    <row r="299" ht="14.25" customHeight="1">
      <c r="A299" s="668"/>
      <c r="B299" s="669"/>
      <c r="C299" s="607" t="s">
        <v>910</v>
      </c>
      <c r="D299" s="608" t="s">
        <v>910</v>
      </c>
      <c r="E299" s="609" t="s">
        <v>927</v>
      </c>
      <c r="F299" s="670" t="str">
        <f>SUM(F297:F298)</f>
        <v>17.61</v>
      </c>
    </row>
    <row r="300" ht="14.25" customHeight="1">
      <c r="A300" s="668"/>
      <c r="B300" s="661" t="s">
        <v>936</v>
      </c>
      <c r="C300" s="595" t="s">
        <v>919</v>
      </c>
      <c r="D300" s="596" t="s">
        <v>920</v>
      </c>
      <c r="E300" s="632" t="s">
        <v>921</v>
      </c>
      <c r="F300" s="662" t="s">
        <v>922</v>
      </c>
    </row>
    <row r="301" ht="14.25" customHeight="1">
      <c r="A301" s="663">
        <v>37401.0</v>
      </c>
      <c r="B301" s="600" t="s">
        <v>1078</v>
      </c>
      <c r="C301" s="601" t="s">
        <v>46</v>
      </c>
      <c r="D301" s="673">
        <v>1.0</v>
      </c>
      <c r="E301" s="636">
        <v>67.44</v>
      </c>
      <c r="F301" s="666" t="str">
        <f>TRUNC((D301*E301),2)</f>
        <v>67.44</v>
      </c>
    </row>
    <row r="302" ht="14.25" customHeight="1">
      <c r="A302" s="599"/>
      <c r="B302" s="684"/>
      <c r="C302" s="200"/>
      <c r="D302" s="685"/>
      <c r="E302" s="609" t="s">
        <v>927</v>
      </c>
      <c r="F302" s="610" t="str">
        <f>SUM(F301)</f>
        <v>67.44</v>
      </c>
    </row>
    <row r="303" ht="14.25" customHeight="1">
      <c r="A303" s="611"/>
      <c r="B303" s="819" t="s">
        <v>928</v>
      </c>
      <c r="C303" s="127"/>
      <c r="D303" s="127"/>
      <c r="E303" s="687"/>
      <c r="F303" s="615" t="str">
        <f>F299+F302</f>
        <v>85.05</v>
      </c>
    </row>
    <row r="304" ht="14.25" customHeight="1"/>
    <row r="305" ht="14.25" customHeight="1">
      <c r="A305" s="657" t="s">
        <v>248</v>
      </c>
      <c r="B305" s="836" t="s">
        <v>249</v>
      </c>
      <c r="C305" s="828" t="s">
        <v>53</v>
      </c>
      <c r="D305" s="829"/>
      <c r="E305" s="830"/>
      <c r="F305" s="831"/>
    </row>
    <row r="306" ht="14.25" customHeight="1">
      <c r="A306" s="627" t="s">
        <v>1079</v>
      </c>
      <c r="B306" s="561"/>
      <c r="C306" s="561"/>
      <c r="D306" s="561"/>
      <c r="E306" s="561"/>
      <c r="F306" s="124"/>
    </row>
    <row r="307" ht="14.25" customHeight="1">
      <c r="A307" s="660"/>
      <c r="B307" s="661" t="s">
        <v>918</v>
      </c>
      <c r="C307" s="595" t="s">
        <v>919</v>
      </c>
      <c r="D307" s="596" t="s">
        <v>920</v>
      </c>
      <c r="E307" s="632" t="s">
        <v>921</v>
      </c>
      <c r="F307" s="662" t="s">
        <v>922</v>
      </c>
    </row>
    <row r="308" ht="14.25" customHeight="1">
      <c r="A308" s="663">
        <v>88256.0</v>
      </c>
      <c r="B308" s="688" t="s">
        <v>1061</v>
      </c>
      <c r="C308" s="601" t="s">
        <v>924</v>
      </c>
      <c r="D308" s="665">
        <v>0.91</v>
      </c>
      <c r="E308" s="636">
        <v>24.49</v>
      </c>
      <c r="F308" s="666" t="str">
        <f t="shared" ref="F308:F309" si="25">TRUNC((D308*E308),2)</f>
        <v>22.28</v>
      </c>
    </row>
    <row r="309" ht="14.25" customHeight="1">
      <c r="A309" s="667">
        <v>88316.0</v>
      </c>
      <c r="B309" s="832" t="s">
        <v>935</v>
      </c>
      <c r="C309" s="601" t="s">
        <v>924</v>
      </c>
      <c r="D309" s="665">
        <v>0.46</v>
      </c>
      <c r="E309" s="605">
        <v>19.45</v>
      </c>
      <c r="F309" s="666" t="str">
        <f t="shared" si="25"/>
        <v>8.94</v>
      </c>
    </row>
    <row r="310" ht="14.25" customHeight="1">
      <c r="A310" s="668"/>
      <c r="B310" s="669"/>
      <c r="C310" s="607" t="s">
        <v>910</v>
      </c>
      <c r="D310" s="608" t="s">
        <v>910</v>
      </c>
      <c r="E310" s="609" t="s">
        <v>927</v>
      </c>
      <c r="F310" s="670" t="str">
        <f>SUM(F308:F309)</f>
        <v>31.22</v>
      </c>
    </row>
    <row r="311" ht="14.25" customHeight="1">
      <c r="A311" s="668"/>
      <c r="B311" s="661" t="s">
        <v>936</v>
      </c>
      <c r="C311" s="595" t="s">
        <v>919</v>
      </c>
      <c r="D311" s="596" t="s">
        <v>920</v>
      </c>
      <c r="E311" s="632" t="s">
        <v>921</v>
      </c>
      <c r="F311" s="662" t="s">
        <v>922</v>
      </c>
    </row>
    <row r="312" ht="14.25" customHeight="1">
      <c r="A312" s="663">
        <v>536.0</v>
      </c>
      <c r="B312" s="600" t="s">
        <v>1080</v>
      </c>
      <c r="C312" s="601" t="s">
        <v>53</v>
      </c>
      <c r="D312" s="673">
        <v>1.09</v>
      </c>
      <c r="E312" s="636">
        <v>34.9</v>
      </c>
      <c r="F312" s="666" t="str">
        <f t="shared" ref="F312:F314" si="26">TRUNC((D312*E312),2)</f>
        <v>38.04</v>
      </c>
    </row>
    <row r="313" ht="14.25" customHeight="1">
      <c r="A313" s="663">
        <v>1381.0</v>
      </c>
      <c r="B313" s="600" t="s">
        <v>1081</v>
      </c>
      <c r="C313" s="601" t="s">
        <v>107</v>
      </c>
      <c r="D313" s="673">
        <v>6.14</v>
      </c>
      <c r="E313" s="636">
        <v>1.0</v>
      </c>
      <c r="F313" s="666" t="str">
        <f t="shared" si="26"/>
        <v>6.14</v>
      </c>
    </row>
    <row r="314" ht="14.25" customHeight="1">
      <c r="A314" s="663">
        <v>34357.0</v>
      </c>
      <c r="B314" s="600" t="s">
        <v>1063</v>
      </c>
      <c r="C314" s="601" t="s">
        <v>107</v>
      </c>
      <c r="D314" s="673">
        <v>0.22</v>
      </c>
      <c r="E314" s="636">
        <v>5.87</v>
      </c>
      <c r="F314" s="666" t="str">
        <f t="shared" si="26"/>
        <v>1.29</v>
      </c>
    </row>
    <row r="315" ht="14.25" customHeight="1">
      <c r="A315" s="599"/>
      <c r="B315" s="684"/>
      <c r="C315" s="200"/>
      <c r="D315" s="685"/>
      <c r="E315" s="609" t="s">
        <v>927</v>
      </c>
      <c r="F315" s="610" t="str">
        <f>SUM(F312:F314)</f>
        <v>45.47</v>
      </c>
    </row>
    <row r="316" ht="14.25" customHeight="1">
      <c r="A316" s="611"/>
      <c r="B316" s="819" t="s">
        <v>928</v>
      </c>
      <c r="C316" s="127"/>
      <c r="D316" s="127"/>
      <c r="E316" s="687"/>
      <c r="F316" s="615" t="str">
        <f>F310+F315</f>
        <v>76.69</v>
      </c>
    </row>
    <row r="317" ht="14.25" customHeight="1"/>
    <row r="318" ht="14.25" customHeight="1">
      <c r="A318" s="657" t="s">
        <v>252</v>
      </c>
      <c r="B318" s="836" t="s">
        <v>253</v>
      </c>
      <c r="C318" s="828" t="s">
        <v>53</v>
      </c>
      <c r="D318" s="829"/>
      <c r="E318" s="830"/>
      <c r="F318" s="831"/>
    </row>
    <row r="319" ht="14.25" customHeight="1">
      <c r="A319" s="627" t="s">
        <v>1082</v>
      </c>
      <c r="B319" s="561"/>
      <c r="C319" s="561"/>
      <c r="D319" s="561"/>
      <c r="E319" s="561"/>
      <c r="F319" s="124"/>
    </row>
    <row r="320" ht="14.25" customHeight="1">
      <c r="A320" s="660"/>
      <c r="B320" s="661" t="s">
        <v>918</v>
      </c>
      <c r="C320" s="833" t="s">
        <v>919</v>
      </c>
      <c r="D320" s="834" t="s">
        <v>920</v>
      </c>
      <c r="E320" s="835" t="s">
        <v>921</v>
      </c>
      <c r="F320" s="662" t="s">
        <v>922</v>
      </c>
    </row>
    <row r="321" ht="14.25" customHeight="1">
      <c r="A321" s="663">
        <v>88256.0</v>
      </c>
      <c r="B321" s="600" t="s">
        <v>1061</v>
      </c>
      <c r="C321" s="601" t="s">
        <v>924</v>
      </c>
      <c r="D321" s="665">
        <v>1.02</v>
      </c>
      <c r="E321" s="636">
        <v>24.49</v>
      </c>
      <c r="F321" s="603" t="str">
        <f t="shared" ref="F321:F322" si="27">TRUNC((D321*E321),2)</f>
        <v>24.97</v>
      </c>
    </row>
    <row r="322" ht="14.25" customHeight="1">
      <c r="A322" s="667">
        <v>88316.0</v>
      </c>
      <c r="B322" s="832" t="s">
        <v>935</v>
      </c>
      <c r="C322" s="601" t="s">
        <v>924</v>
      </c>
      <c r="D322" s="665">
        <v>0.5</v>
      </c>
      <c r="E322" s="605">
        <v>19.45</v>
      </c>
      <c r="F322" s="666" t="str">
        <f t="shared" si="27"/>
        <v>9.72</v>
      </c>
    </row>
    <row r="323" ht="14.25" customHeight="1">
      <c r="A323" s="668"/>
      <c r="B323" s="669"/>
      <c r="C323" s="607" t="s">
        <v>910</v>
      </c>
      <c r="D323" s="608" t="s">
        <v>910</v>
      </c>
      <c r="E323" s="609" t="s">
        <v>927</v>
      </c>
      <c r="F323" s="670" t="str">
        <f>SUM(F321:F322)</f>
        <v>34.69</v>
      </c>
    </row>
    <row r="324" ht="14.25" customHeight="1">
      <c r="A324" s="668"/>
      <c r="B324" s="661" t="s">
        <v>936</v>
      </c>
      <c r="C324" s="595" t="s">
        <v>919</v>
      </c>
      <c r="D324" s="596" t="s">
        <v>920</v>
      </c>
      <c r="E324" s="632" t="s">
        <v>921</v>
      </c>
      <c r="F324" s="662" t="s">
        <v>922</v>
      </c>
    </row>
    <row r="325" ht="14.25" customHeight="1">
      <c r="A325" s="663">
        <v>536.0</v>
      </c>
      <c r="B325" s="600" t="s">
        <v>1080</v>
      </c>
      <c r="C325" s="601" t="s">
        <v>53</v>
      </c>
      <c r="D325" s="673">
        <v>1.09</v>
      </c>
      <c r="E325" s="636">
        <v>34.9</v>
      </c>
      <c r="F325" s="666" t="str">
        <f t="shared" ref="F325:F327" si="28">TRUNC((D325*E325),2)</f>
        <v>38.04</v>
      </c>
    </row>
    <row r="326" ht="14.25" customHeight="1">
      <c r="A326" s="663">
        <v>1381.0</v>
      </c>
      <c r="B326" s="600" t="s">
        <v>1081</v>
      </c>
      <c r="C326" s="601" t="s">
        <v>107</v>
      </c>
      <c r="D326" s="673">
        <v>6.14</v>
      </c>
      <c r="E326" s="636">
        <v>1.0</v>
      </c>
      <c r="F326" s="666" t="str">
        <f t="shared" si="28"/>
        <v>6.14</v>
      </c>
    </row>
    <row r="327" ht="14.25" customHeight="1">
      <c r="A327" s="663">
        <v>34357.0</v>
      </c>
      <c r="B327" s="600" t="s">
        <v>1063</v>
      </c>
      <c r="C327" s="601" t="s">
        <v>107</v>
      </c>
      <c r="D327" s="673">
        <v>0.22</v>
      </c>
      <c r="E327" s="636">
        <v>5.87</v>
      </c>
      <c r="F327" s="666" t="str">
        <f t="shared" si="28"/>
        <v>1.29</v>
      </c>
    </row>
    <row r="328" ht="14.25" customHeight="1">
      <c r="A328" s="599"/>
      <c r="B328" s="684"/>
      <c r="C328" s="200"/>
      <c r="D328" s="685"/>
      <c r="E328" s="609" t="s">
        <v>927</v>
      </c>
      <c r="F328" s="610" t="str">
        <f>SUM(F325:F327)</f>
        <v>45.47</v>
      </c>
    </row>
    <row r="329" ht="14.25" customHeight="1">
      <c r="A329" s="611"/>
      <c r="B329" s="819" t="s">
        <v>928</v>
      </c>
      <c r="C329" s="127"/>
      <c r="D329" s="127"/>
      <c r="E329" s="687"/>
      <c r="F329" s="615" t="str">
        <f>F323+F328</f>
        <v>80.16</v>
      </c>
    </row>
    <row r="330" ht="14.25" customHeight="1"/>
    <row r="331" ht="29.25" customHeight="1">
      <c r="A331" s="657" t="s">
        <v>238</v>
      </c>
      <c r="B331" s="658" t="s">
        <v>239</v>
      </c>
      <c r="C331" s="828" t="s">
        <v>53</v>
      </c>
      <c r="D331" s="829"/>
      <c r="E331" s="830"/>
      <c r="F331" s="831"/>
    </row>
    <row r="332" ht="15.0" customHeight="1">
      <c r="A332" s="627" t="s">
        <v>1083</v>
      </c>
      <c r="B332" s="561"/>
      <c r="C332" s="561"/>
      <c r="D332" s="561"/>
      <c r="E332" s="561"/>
      <c r="F332" s="124"/>
    </row>
    <row r="333" ht="14.25" customHeight="1">
      <c r="A333" s="660"/>
      <c r="B333" s="661" t="s">
        <v>918</v>
      </c>
      <c r="C333" s="595" t="s">
        <v>919</v>
      </c>
      <c r="D333" s="596" t="s">
        <v>920</v>
      </c>
      <c r="E333" s="632" t="s">
        <v>921</v>
      </c>
      <c r="F333" s="662" t="s">
        <v>922</v>
      </c>
    </row>
    <row r="334" ht="14.25" customHeight="1">
      <c r="A334" s="663">
        <v>88256.0</v>
      </c>
      <c r="B334" s="688" t="s">
        <v>1061</v>
      </c>
      <c r="C334" s="601" t="s">
        <v>924</v>
      </c>
      <c r="D334" s="665">
        <v>0.4</v>
      </c>
      <c r="E334" s="636">
        <v>24.49</v>
      </c>
      <c r="F334" s="666" t="str">
        <f t="shared" ref="F334:F335" si="29">TRUNC((D334*E334),2)</f>
        <v>9.79</v>
      </c>
    </row>
    <row r="335" ht="14.25" customHeight="1">
      <c r="A335" s="667">
        <v>88316.0</v>
      </c>
      <c r="B335" s="832" t="s">
        <v>935</v>
      </c>
      <c r="C335" s="601" t="s">
        <v>924</v>
      </c>
      <c r="D335" s="665">
        <v>0.34</v>
      </c>
      <c r="E335" s="605">
        <v>19.45</v>
      </c>
      <c r="F335" s="666" t="str">
        <f t="shared" si="29"/>
        <v>6.61</v>
      </c>
    </row>
    <row r="336" ht="14.25" customHeight="1">
      <c r="A336" s="668"/>
      <c r="B336" s="669"/>
      <c r="C336" s="607" t="s">
        <v>910</v>
      </c>
      <c r="D336" s="608" t="s">
        <v>910</v>
      </c>
      <c r="E336" s="609" t="s">
        <v>927</v>
      </c>
      <c r="F336" s="670" t="str">
        <f>SUM(F334:F335)</f>
        <v>16.40</v>
      </c>
    </row>
    <row r="337" ht="14.25" customHeight="1">
      <c r="A337" s="668"/>
      <c r="B337" s="661" t="s">
        <v>936</v>
      </c>
      <c r="C337" s="595" t="s">
        <v>919</v>
      </c>
      <c r="D337" s="596" t="s">
        <v>920</v>
      </c>
      <c r="E337" s="632" t="s">
        <v>921</v>
      </c>
      <c r="F337" s="662" t="s">
        <v>922</v>
      </c>
    </row>
    <row r="338" ht="14.25" customHeight="1">
      <c r="A338" s="691" t="s">
        <v>966</v>
      </c>
      <c r="B338" s="600" t="s">
        <v>1084</v>
      </c>
      <c r="C338" s="601" t="s">
        <v>53</v>
      </c>
      <c r="D338" s="673">
        <v>1.05</v>
      </c>
      <c r="E338" s="636" t="str">
        <f>C348</f>
        <v>154.90</v>
      </c>
      <c r="F338" s="666" t="str">
        <f t="shared" ref="F338:F340" si="30">TRUNC((D338*E338),2)</f>
        <v>162.64</v>
      </c>
      <c r="H338" s="204"/>
    </row>
    <row r="339" ht="14.25" customHeight="1">
      <c r="A339" s="663">
        <v>34353.0</v>
      </c>
      <c r="B339" s="600" t="s">
        <v>1085</v>
      </c>
      <c r="C339" s="601" t="s">
        <v>107</v>
      </c>
      <c r="D339" s="673">
        <v>4.0</v>
      </c>
      <c r="E339" s="636">
        <v>1.86</v>
      </c>
      <c r="F339" s="666" t="str">
        <f t="shared" si="30"/>
        <v>7.44</v>
      </c>
    </row>
    <row r="340" ht="14.25" customHeight="1">
      <c r="A340" s="663">
        <v>34357.0</v>
      </c>
      <c r="B340" s="600" t="s">
        <v>1063</v>
      </c>
      <c r="C340" s="601" t="s">
        <v>107</v>
      </c>
      <c r="D340" s="673">
        <v>0.66</v>
      </c>
      <c r="E340" s="636">
        <v>5.87</v>
      </c>
      <c r="F340" s="666" t="str">
        <f t="shared" si="30"/>
        <v>3.87</v>
      </c>
    </row>
    <row r="341" ht="14.25" customHeight="1">
      <c r="A341" s="599"/>
      <c r="B341" s="684"/>
      <c r="C341" s="200"/>
      <c r="D341" s="685"/>
      <c r="E341" s="609" t="s">
        <v>927</v>
      </c>
      <c r="F341" s="610" t="str">
        <f>F338+F339+F340</f>
        <v>173.95</v>
      </c>
    </row>
    <row r="342" ht="14.25" customHeight="1">
      <c r="A342" s="611"/>
      <c r="B342" s="819" t="s">
        <v>928</v>
      </c>
      <c r="C342" s="127"/>
      <c r="D342" s="127"/>
      <c r="E342" s="687"/>
      <c r="F342" s="615" t="str">
        <f>SUM(F336,F341)</f>
        <v>190.35</v>
      </c>
      <c r="G342" s="148"/>
    </row>
    <row r="343" ht="14.25" customHeight="1">
      <c r="A343" s="730"/>
      <c r="B343" s="731" t="s">
        <v>1086</v>
      </c>
      <c r="C343" s="732"/>
      <c r="D343" s="732"/>
      <c r="E343" s="733"/>
      <c r="F343" s="734"/>
    </row>
    <row r="344" ht="14.25" customHeight="1">
      <c r="A344" s="735" t="s">
        <v>972</v>
      </c>
      <c r="B344" s="597" t="s">
        <v>973</v>
      </c>
      <c r="C344" s="736" t="s">
        <v>974</v>
      </c>
      <c r="D344" s="737" t="s">
        <v>975</v>
      </c>
      <c r="E344" s="41"/>
      <c r="F344" s="738" t="s">
        <v>976</v>
      </c>
    </row>
    <row r="345" ht="14.25" customHeight="1">
      <c r="A345" s="740">
        <v>44853.0</v>
      </c>
      <c r="B345" s="600" t="s">
        <v>1087</v>
      </c>
      <c r="C345" s="605">
        <v>154.9</v>
      </c>
      <c r="D345" s="347" t="s">
        <v>1088</v>
      </c>
      <c r="E345" s="41"/>
      <c r="F345" s="741" t="s">
        <v>1014</v>
      </c>
    </row>
    <row r="346" ht="14.25" customHeight="1">
      <c r="A346" s="740">
        <v>44851.0</v>
      </c>
      <c r="B346" s="600" t="s">
        <v>1089</v>
      </c>
      <c r="C346" s="605">
        <v>272.0</v>
      </c>
      <c r="D346" s="347" t="s">
        <v>1090</v>
      </c>
      <c r="E346" s="41"/>
      <c r="F346" s="741" t="s">
        <v>1091</v>
      </c>
      <c r="G346" s="298" t="str">
        <f>29648/109</f>
        <v>272.00</v>
      </c>
      <c r="I346" s="204" t="s">
        <v>1092</v>
      </c>
    </row>
    <row r="347" ht="14.25" customHeight="1">
      <c r="A347" s="740">
        <v>44869.0</v>
      </c>
      <c r="B347" s="600" t="s">
        <v>1093</v>
      </c>
      <c r="C347" s="605">
        <v>154.5</v>
      </c>
      <c r="D347" s="347" t="s">
        <v>1094</v>
      </c>
      <c r="E347" s="41"/>
      <c r="F347" s="741" t="s">
        <v>1095</v>
      </c>
    </row>
    <row r="348" ht="14.25" customHeight="1">
      <c r="A348" s="720"/>
      <c r="B348" s="721" t="s">
        <v>986</v>
      </c>
      <c r="C348" s="722" t="str">
        <f>MEDIAN(C345:C347)</f>
        <v>154.90</v>
      </c>
      <c r="D348" s="723"/>
      <c r="E348" s="712"/>
      <c r="F348" s="724"/>
    </row>
    <row r="349" ht="14.25" customHeight="1"/>
    <row r="350" ht="14.25" customHeight="1">
      <c r="A350" s="657" t="s">
        <v>865</v>
      </c>
      <c r="B350" s="658" t="s">
        <v>866</v>
      </c>
      <c r="C350" s="828"/>
      <c r="D350" s="837" t="s">
        <v>1096</v>
      </c>
      <c r="E350" s="830"/>
      <c r="F350" s="831"/>
    </row>
    <row r="351" ht="15.0" customHeight="1">
      <c r="A351" s="838" t="s">
        <v>1097</v>
      </c>
      <c r="B351" s="127"/>
      <c r="C351" s="127"/>
      <c r="D351" s="127"/>
      <c r="E351" s="127"/>
      <c r="F351" s="128"/>
    </row>
    <row r="352" ht="14.25" customHeight="1">
      <c r="A352" s="839"/>
      <c r="B352" s="840" t="s">
        <v>918</v>
      </c>
      <c r="C352" s="841" t="s">
        <v>919</v>
      </c>
      <c r="D352" s="842" t="s">
        <v>920</v>
      </c>
      <c r="E352" s="704" t="s">
        <v>921</v>
      </c>
      <c r="F352" s="843" t="s">
        <v>922</v>
      </c>
    </row>
    <row r="353" ht="14.25" customHeight="1">
      <c r="A353" s="667"/>
      <c r="B353" s="832"/>
      <c r="C353" s="601" t="s">
        <v>924</v>
      </c>
      <c r="D353" s="665"/>
      <c r="E353" s="636"/>
      <c r="F353" s="666" t="str">
        <f>TRUNC((D353*E353),2)</f>
        <v>0.00</v>
      </c>
    </row>
    <row r="354" ht="14.25" customHeight="1">
      <c r="A354" s="668"/>
      <c r="B354" s="669"/>
      <c r="C354" s="607" t="s">
        <v>910</v>
      </c>
      <c r="D354" s="608" t="s">
        <v>910</v>
      </c>
      <c r="E354" s="609" t="s">
        <v>927</v>
      </c>
      <c r="F354" s="670" t="str">
        <f>SUM(F353)</f>
        <v>0.00</v>
      </c>
    </row>
    <row r="355" ht="14.25" customHeight="1">
      <c r="A355" s="668"/>
      <c r="B355" s="661" t="s">
        <v>936</v>
      </c>
      <c r="C355" s="595" t="s">
        <v>919</v>
      </c>
      <c r="D355" s="596" t="s">
        <v>920</v>
      </c>
      <c r="E355" s="632" t="s">
        <v>921</v>
      </c>
      <c r="F355" s="662" t="s">
        <v>922</v>
      </c>
    </row>
    <row r="356" ht="14.25" customHeight="1">
      <c r="A356" s="691" t="s">
        <v>966</v>
      </c>
      <c r="B356" s="600" t="s">
        <v>332</v>
      </c>
      <c r="C356" s="601" t="s">
        <v>46</v>
      </c>
      <c r="D356" s="673">
        <v>1.0</v>
      </c>
      <c r="E356" s="636" t="str">
        <f>C365</f>
        <v>13,080.00</v>
      </c>
      <c r="F356" s="666" t="str">
        <f>TRUNC((D356*E356),2)</f>
        <v>13,080.00</v>
      </c>
    </row>
    <row r="357" ht="14.25" customHeight="1">
      <c r="A357" s="599"/>
      <c r="B357" s="684"/>
      <c r="C357" s="200"/>
      <c r="D357" s="685"/>
      <c r="E357" s="609" t="s">
        <v>927</v>
      </c>
      <c r="F357" s="610" t="str">
        <f>SUM(F356)</f>
        <v>13,080.00</v>
      </c>
    </row>
    <row r="358" ht="14.25" customHeight="1">
      <c r="A358" s="611"/>
      <c r="B358" s="819" t="s">
        <v>928</v>
      </c>
      <c r="C358" s="127"/>
      <c r="D358" s="127"/>
      <c r="E358" s="687"/>
      <c r="F358" s="615" t="str">
        <f>F354+F357</f>
        <v>13,080.00</v>
      </c>
    </row>
    <row r="359" ht="14.25" customHeight="1">
      <c r="A359" s="730"/>
      <c r="B359" s="731" t="s">
        <v>971</v>
      </c>
      <c r="C359" s="732"/>
      <c r="D359" s="732"/>
      <c r="E359" s="733"/>
      <c r="F359" s="734"/>
    </row>
    <row r="360" ht="14.25" customHeight="1">
      <c r="A360" s="735" t="s">
        <v>972</v>
      </c>
      <c r="B360" s="597" t="s">
        <v>973</v>
      </c>
      <c r="C360" s="736" t="s">
        <v>974</v>
      </c>
      <c r="D360" s="737" t="s">
        <v>975</v>
      </c>
      <c r="E360" s="41"/>
      <c r="F360" s="738" t="s">
        <v>976</v>
      </c>
    </row>
    <row r="361" ht="14.25" customHeight="1">
      <c r="A361" s="735" t="s">
        <v>972</v>
      </c>
      <c r="B361" s="597" t="s">
        <v>973</v>
      </c>
      <c r="C361" s="736" t="s">
        <v>974</v>
      </c>
      <c r="D361" s="737" t="s">
        <v>975</v>
      </c>
      <c r="E361" s="41"/>
      <c r="F361" s="738" t="s">
        <v>976</v>
      </c>
    </row>
    <row r="362" ht="14.25" customHeight="1">
      <c r="A362" s="740">
        <v>44855.0</v>
      </c>
      <c r="B362" s="600" t="s">
        <v>1030</v>
      </c>
      <c r="C362" s="605">
        <v>16800.0</v>
      </c>
      <c r="D362" s="347" t="s">
        <v>1031</v>
      </c>
      <c r="E362" s="41"/>
      <c r="F362" s="741" t="s">
        <v>1032</v>
      </c>
    </row>
    <row r="363" ht="14.25" customHeight="1">
      <c r="A363" s="740">
        <v>44890.0</v>
      </c>
      <c r="B363" s="600" t="s">
        <v>1034</v>
      </c>
      <c r="C363" s="758">
        <v>12660.0</v>
      </c>
      <c r="D363" s="347" t="s">
        <v>1035</v>
      </c>
      <c r="E363" s="41"/>
      <c r="F363" s="844" t="s">
        <v>1098</v>
      </c>
    </row>
    <row r="364" ht="14.25" customHeight="1">
      <c r="A364" s="740">
        <v>44852.0</v>
      </c>
      <c r="B364" s="742" t="s">
        <v>1037</v>
      </c>
      <c r="C364" s="605">
        <v>13080.0</v>
      </c>
      <c r="D364" s="347" t="s">
        <v>1038</v>
      </c>
      <c r="E364" s="41"/>
      <c r="F364" s="790" t="s">
        <v>1039</v>
      </c>
      <c r="H364" s="514" t="s">
        <v>1099</v>
      </c>
    </row>
    <row r="365" ht="14.25" customHeight="1">
      <c r="A365" s="720"/>
      <c r="B365" s="721" t="s">
        <v>986</v>
      </c>
      <c r="C365" s="722" t="str">
        <f>MEDIAN(C362:C364)</f>
        <v>13080.00</v>
      </c>
      <c r="D365" s="723"/>
      <c r="E365" s="712"/>
      <c r="F365" s="724"/>
    </row>
    <row r="366" ht="14.25" customHeight="1"/>
    <row r="367" ht="27.0" customHeight="1">
      <c r="A367" s="657" t="s">
        <v>868</v>
      </c>
      <c r="B367" s="658" t="s">
        <v>1100</v>
      </c>
      <c r="C367" s="828" t="s">
        <v>46</v>
      </c>
      <c r="D367" s="829"/>
      <c r="E367" s="830"/>
      <c r="F367" s="831"/>
    </row>
    <row r="368" ht="14.25" customHeight="1">
      <c r="A368" s="627" t="s">
        <v>1101</v>
      </c>
      <c r="B368" s="561"/>
      <c r="C368" s="561"/>
      <c r="D368" s="561"/>
      <c r="E368" s="561"/>
      <c r="F368" s="124"/>
    </row>
    <row r="369" ht="14.25" customHeight="1">
      <c r="A369" s="660"/>
      <c r="B369" s="661" t="s">
        <v>918</v>
      </c>
      <c r="C369" s="595" t="s">
        <v>919</v>
      </c>
      <c r="D369" s="596" t="s">
        <v>920</v>
      </c>
      <c r="E369" s="632" t="s">
        <v>921</v>
      </c>
      <c r="F369" s="662" t="s">
        <v>922</v>
      </c>
    </row>
    <row r="370" ht="14.25" customHeight="1">
      <c r="A370" s="667"/>
      <c r="B370" s="832"/>
      <c r="C370" s="601"/>
      <c r="D370" s="665"/>
      <c r="E370" s="636"/>
      <c r="F370" s="666"/>
    </row>
    <row r="371" ht="14.25" customHeight="1">
      <c r="A371" s="667"/>
      <c r="B371" s="845"/>
      <c r="C371" s="601"/>
      <c r="D371" s="665"/>
      <c r="E371" s="636"/>
      <c r="F371" s="666"/>
    </row>
    <row r="372" ht="14.25" customHeight="1">
      <c r="A372" s="668"/>
      <c r="B372" s="669"/>
      <c r="C372" s="607" t="s">
        <v>910</v>
      </c>
      <c r="D372" s="608" t="s">
        <v>910</v>
      </c>
      <c r="E372" s="609" t="s">
        <v>927</v>
      </c>
      <c r="F372" s="670" t="str">
        <f>SUM(F370:F371)</f>
        <v>0.00</v>
      </c>
    </row>
    <row r="373" ht="14.25" customHeight="1">
      <c r="A373" s="668"/>
      <c r="B373" s="661" t="s">
        <v>936</v>
      </c>
      <c r="C373" s="595" t="s">
        <v>919</v>
      </c>
      <c r="D373" s="596" t="s">
        <v>920</v>
      </c>
      <c r="E373" s="632" t="s">
        <v>921</v>
      </c>
      <c r="F373" s="662" t="s">
        <v>922</v>
      </c>
    </row>
    <row r="374" ht="14.25" customHeight="1">
      <c r="A374" s="691" t="s">
        <v>966</v>
      </c>
      <c r="B374" s="600" t="s">
        <v>1102</v>
      </c>
      <c r="C374" s="334" t="s">
        <v>46</v>
      </c>
      <c r="D374" s="846">
        <v>1.0</v>
      </c>
      <c r="E374" s="636" t="str">
        <f>C382</f>
        <v>13,469.30</v>
      </c>
      <c r="F374" s="666" t="str">
        <f>TRUNC((D374*E374),2)</f>
        <v>13,469.30</v>
      </c>
    </row>
    <row r="375" ht="14.25" customHeight="1">
      <c r="A375" s="599"/>
      <c r="B375" s="684"/>
      <c r="C375" s="200"/>
      <c r="D375" s="685"/>
      <c r="E375" s="609" t="s">
        <v>927</v>
      </c>
      <c r="F375" s="610" t="str">
        <f>SUM(F374)</f>
        <v>13,469.30</v>
      </c>
    </row>
    <row r="376" ht="14.25" customHeight="1">
      <c r="A376" s="611"/>
      <c r="B376" s="819" t="s">
        <v>928</v>
      </c>
      <c r="C376" s="127"/>
      <c r="D376" s="127"/>
      <c r="E376" s="687"/>
      <c r="F376" s="615" t="str">
        <f>F372+F375</f>
        <v>13,469.30</v>
      </c>
    </row>
    <row r="377" ht="14.25" customHeight="1">
      <c r="A377" s="762"/>
      <c r="B377" s="763" t="s">
        <v>1103</v>
      </c>
      <c r="C377" s="764"/>
      <c r="D377" s="764"/>
      <c r="E377" s="765"/>
      <c r="F377" s="766"/>
    </row>
    <row r="378" ht="14.25" customHeight="1">
      <c r="A378" s="735" t="s">
        <v>972</v>
      </c>
      <c r="B378" s="597" t="s">
        <v>973</v>
      </c>
      <c r="C378" s="736" t="s">
        <v>974</v>
      </c>
      <c r="D378" s="737" t="s">
        <v>975</v>
      </c>
      <c r="E378" s="41"/>
      <c r="F378" s="738" t="s">
        <v>976</v>
      </c>
    </row>
    <row r="379" ht="14.25" customHeight="1">
      <c r="A379" s="740">
        <v>44859.0</v>
      </c>
      <c r="B379" s="742" t="s">
        <v>1104</v>
      </c>
      <c r="C379" s="605">
        <v>8200.0</v>
      </c>
      <c r="D379" s="347" t="s">
        <v>1105</v>
      </c>
      <c r="E379" s="41"/>
      <c r="F379" s="741" t="s">
        <v>1106</v>
      </c>
      <c r="H379" s="525"/>
      <c r="I379" s="525"/>
    </row>
    <row r="380" ht="14.25" customHeight="1">
      <c r="A380" s="740">
        <v>44862.0</v>
      </c>
      <c r="B380" s="600" t="s">
        <v>1107</v>
      </c>
      <c r="C380" s="605">
        <v>15660.0</v>
      </c>
      <c r="D380" s="347" t="s">
        <v>1108</v>
      </c>
      <c r="E380" s="41"/>
      <c r="F380" s="741" t="s">
        <v>1109</v>
      </c>
    </row>
    <row r="381" ht="14.25" customHeight="1">
      <c r="A381" s="740">
        <v>44882.0</v>
      </c>
      <c r="B381" s="600" t="s">
        <v>1110</v>
      </c>
      <c r="C381" s="605">
        <v>13469.3</v>
      </c>
      <c r="D381" s="347" t="s">
        <v>1111</v>
      </c>
      <c r="E381" s="41"/>
      <c r="F381" s="741" t="s">
        <v>1112</v>
      </c>
    </row>
    <row r="382" ht="14.25" customHeight="1">
      <c r="A382" s="847"/>
      <c r="B382" s="848" t="s">
        <v>986</v>
      </c>
      <c r="C382" s="849" t="str">
        <f>MEDIAN(C379:C381)</f>
        <v>13469.30</v>
      </c>
      <c r="D382" s="850"/>
      <c r="E382" s="851"/>
      <c r="F382" s="852"/>
    </row>
    <row r="383" ht="14.25" customHeight="1"/>
    <row r="384" ht="14.25" customHeight="1">
      <c r="A384" s="657" t="s">
        <v>871</v>
      </c>
      <c r="B384" s="658" t="s">
        <v>872</v>
      </c>
      <c r="C384" s="828" t="s">
        <v>1096</v>
      </c>
      <c r="D384" s="829"/>
      <c r="E384" s="830"/>
      <c r="F384" s="831"/>
    </row>
    <row r="385" ht="14.25" customHeight="1">
      <c r="A385" s="853" t="s">
        <v>1101</v>
      </c>
      <c r="B385" s="854"/>
      <c r="C385" s="854"/>
      <c r="D385" s="854"/>
      <c r="E385" s="854"/>
      <c r="F385" s="855"/>
    </row>
    <row r="386" ht="14.25" customHeight="1">
      <c r="A386" s="593"/>
      <c r="B386" s="594" t="s">
        <v>918</v>
      </c>
      <c r="C386" s="595" t="s">
        <v>919</v>
      </c>
      <c r="D386" s="596" t="s">
        <v>920</v>
      </c>
      <c r="E386" s="597" t="s">
        <v>921</v>
      </c>
      <c r="F386" s="598" t="s">
        <v>922</v>
      </c>
    </row>
    <row r="387" ht="14.25" customHeight="1">
      <c r="A387" s="667"/>
      <c r="B387" s="832"/>
      <c r="C387" s="601"/>
      <c r="D387" s="665"/>
      <c r="E387" s="636"/>
      <c r="F387" s="666" t="str">
        <f>TRUNC((D387*E387),2)</f>
        <v>0.00</v>
      </c>
      <c r="H387" s="348" t="s">
        <v>1113</v>
      </c>
    </row>
    <row r="388" ht="14.25" customHeight="1">
      <c r="A388" s="668"/>
      <c r="B388" s="669"/>
      <c r="C388" s="607" t="s">
        <v>910</v>
      </c>
      <c r="D388" s="608" t="s">
        <v>910</v>
      </c>
      <c r="E388" s="609" t="s">
        <v>927</v>
      </c>
      <c r="F388" s="670" t="str">
        <f>SUM(F387)</f>
        <v>0.00</v>
      </c>
      <c r="H388" s="348" t="s">
        <v>1114</v>
      </c>
    </row>
    <row r="389" ht="14.25" customHeight="1">
      <c r="A389" s="668"/>
      <c r="B389" s="661" t="s">
        <v>936</v>
      </c>
      <c r="C389" s="595" t="s">
        <v>919</v>
      </c>
      <c r="D389" s="596" t="s">
        <v>920</v>
      </c>
      <c r="E389" s="632" t="s">
        <v>921</v>
      </c>
      <c r="F389" s="662" t="s">
        <v>922</v>
      </c>
    </row>
    <row r="390" ht="24.75" customHeight="1">
      <c r="A390" s="691" t="s">
        <v>966</v>
      </c>
      <c r="B390" s="600" t="s">
        <v>1115</v>
      </c>
      <c r="C390" s="601" t="s">
        <v>46</v>
      </c>
      <c r="D390" s="673">
        <v>1.0</v>
      </c>
      <c r="E390" s="636" t="str">
        <f>C398</f>
        <v>10,530.00</v>
      </c>
      <c r="F390" s="666" t="str">
        <f>TRUNC((D390*E390),2)</f>
        <v>10,530.00</v>
      </c>
    </row>
    <row r="391" ht="14.25" customHeight="1">
      <c r="A391" s="599"/>
      <c r="B391" s="684"/>
      <c r="C391" s="200"/>
      <c r="D391" s="685"/>
      <c r="E391" s="609" t="s">
        <v>927</v>
      </c>
      <c r="F391" s="610" t="str">
        <f>SUM(F390)</f>
        <v>10,530.00</v>
      </c>
    </row>
    <row r="392" ht="14.25" customHeight="1">
      <c r="A392" s="611"/>
      <c r="B392" s="819" t="s">
        <v>928</v>
      </c>
      <c r="C392" s="127"/>
      <c r="D392" s="127"/>
      <c r="E392" s="687"/>
      <c r="F392" s="615" t="str">
        <f>F388+F391</f>
        <v>10,530.00</v>
      </c>
    </row>
    <row r="393" ht="14.25" customHeight="1">
      <c r="A393" s="616"/>
      <c r="B393" s="617" t="s">
        <v>971</v>
      </c>
      <c r="C393" s="28"/>
      <c r="D393" s="28"/>
      <c r="E393" s="618"/>
      <c r="F393" s="619"/>
    </row>
    <row r="394" ht="14.25" customHeight="1">
      <c r="A394" s="703" t="s">
        <v>972</v>
      </c>
      <c r="B394" s="704" t="s">
        <v>973</v>
      </c>
      <c r="C394" s="705" t="s">
        <v>974</v>
      </c>
      <c r="D394" s="706" t="s">
        <v>975</v>
      </c>
      <c r="E394" s="555"/>
      <c r="F394" s="707" t="s">
        <v>976</v>
      </c>
    </row>
    <row r="395" ht="14.25" customHeight="1">
      <c r="A395" s="740">
        <v>44866.0</v>
      </c>
      <c r="B395" s="600" t="s">
        <v>1116</v>
      </c>
      <c r="C395" s="605">
        <v>10530.0</v>
      </c>
      <c r="D395" s="347" t="s">
        <v>1117</v>
      </c>
      <c r="E395" s="41"/>
      <c r="F395" s="741" t="s">
        <v>1118</v>
      </c>
      <c r="H395" s="856"/>
    </row>
    <row r="396" ht="14.25" customHeight="1">
      <c r="A396" s="740">
        <v>44853.0</v>
      </c>
      <c r="B396" s="600" t="s">
        <v>1119</v>
      </c>
      <c r="C396" s="605">
        <v>15200.0</v>
      </c>
      <c r="D396" s="347" t="s">
        <v>1120</v>
      </c>
      <c r="E396" s="41"/>
      <c r="F396" s="741" t="s">
        <v>1121</v>
      </c>
      <c r="H396" s="857" t="s">
        <v>1122</v>
      </c>
    </row>
    <row r="397" ht="14.25" customHeight="1">
      <c r="A397" s="740">
        <v>44859.0</v>
      </c>
      <c r="B397" s="600" t="s">
        <v>1123</v>
      </c>
      <c r="C397" s="605">
        <v>4320.0</v>
      </c>
      <c r="D397" s="347" t="s">
        <v>1124</v>
      </c>
      <c r="E397" s="41"/>
      <c r="F397" s="741" t="s">
        <v>1125</v>
      </c>
      <c r="H397" s="857" t="s">
        <v>1122</v>
      </c>
    </row>
    <row r="398" ht="14.25" customHeight="1">
      <c r="A398" s="847"/>
      <c r="B398" s="848" t="s">
        <v>986</v>
      </c>
      <c r="C398" s="849" t="str">
        <f>MEDIAN(C395:C397)</f>
        <v>10530.00</v>
      </c>
      <c r="D398" s="850"/>
      <c r="E398" s="851"/>
      <c r="F398" s="852"/>
    </row>
    <row r="399" ht="14.25" customHeight="1"/>
    <row r="400" ht="14.25" customHeight="1">
      <c r="A400" s="657" t="s">
        <v>880</v>
      </c>
      <c r="B400" s="658" t="s">
        <v>881</v>
      </c>
      <c r="C400" s="828" t="s">
        <v>58</v>
      </c>
      <c r="D400" s="829"/>
      <c r="E400" s="830"/>
      <c r="F400" s="831"/>
    </row>
    <row r="401" ht="14.25" customHeight="1">
      <c r="A401" s="627" t="s">
        <v>1126</v>
      </c>
      <c r="B401" s="561"/>
      <c r="C401" s="561"/>
      <c r="D401" s="561"/>
      <c r="E401" s="561"/>
      <c r="F401" s="124"/>
    </row>
    <row r="402" ht="14.25" customHeight="1">
      <c r="A402" s="660"/>
      <c r="B402" s="661" t="s">
        <v>918</v>
      </c>
      <c r="C402" s="595" t="s">
        <v>919</v>
      </c>
      <c r="D402" s="596" t="s">
        <v>920</v>
      </c>
      <c r="E402" s="632" t="s">
        <v>921</v>
      </c>
      <c r="F402" s="662" t="s">
        <v>922</v>
      </c>
    </row>
    <row r="403" ht="14.25" customHeight="1">
      <c r="A403" s="634">
        <v>88316.0</v>
      </c>
      <c r="B403" s="688" t="s">
        <v>935</v>
      </c>
      <c r="C403" s="601" t="s">
        <v>924</v>
      </c>
      <c r="D403" s="665">
        <v>2.5</v>
      </c>
      <c r="E403" s="605">
        <v>19.45</v>
      </c>
      <c r="F403" s="666" t="str">
        <f>TRUNC((D403*E403),2)</f>
        <v>48.62</v>
      </c>
    </row>
    <row r="404" ht="14.25" customHeight="1">
      <c r="A404" s="668"/>
      <c r="B404" s="669"/>
      <c r="C404" s="607" t="s">
        <v>910</v>
      </c>
      <c r="D404" s="608" t="s">
        <v>910</v>
      </c>
      <c r="E404" s="609" t="s">
        <v>927</v>
      </c>
      <c r="F404" s="670" t="str">
        <f>SUM(F403)</f>
        <v>48.62</v>
      </c>
    </row>
    <row r="405" ht="14.25" customHeight="1">
      <c r="A405" s="668"/>
      <c r="B405" s="661" t="s">
        <v>936</v>
      </c>
      <c r="C405" s="595" t="s">
        <v>919</v>
      </c>
      <c r="D405" s="596" t="s">
        <v>920</v>
      </c>
      <c r="E405" s="632" t="s">
        <v>921</v>
      </c>
      <c r="F405" s="662" t="s">
        <v>922</v>
      </c>
    </row>
    <row r="406" ht="14.25" customHeight="1">
      <c r="A406" s="691">
        <v>7253.0</v>
      </c>
      <c r="B406" s="600" t="s">
        <v>1127</v>
      </c>
      <c r="C406" s="601" t="s">
        <v>58</v>
      </c>
      <c r="D406" s="673">
        <v>1.0</v>
      </c>
      <c r="E406" s="636">
        <v>143.57</v>
      </c>
      <c r="F406" s="666" t="str">
        <f>TRUNC((D406*E406),2)</f>
        <v>143.57</v>
      </c>
    </row>
    <row r="407" ht="14.25" customHeight="1">
      <c r="A407" s="599"/>
      <c r="B407" s="684"/>
      <c r="C407" s="200"/>
      <c r="D407" s="685"/>
      <c r="E407" s="609" t="s">
        <v>927</v>
      </c>
      <c r="F407" s="610" t="str">
        <f>SUM(F406)</f>
        <v>143.57</v>
      </c>
    </row>
    <row r="408" ht="14.25" customHeight="1">
      <c r="A408" s="611"/>
      <c r="B408" s="819" t="s">
        <v>928</v>
      </c>
      <c r="C408" s="127"/>
      <c r="D408" s="127"/>
      <c r="E408" s="687"/>
      <c r="F408" s="615" t="str">
        <f>F404+F407</f>
        <v>192.19</v>
      </c>
    </row>
    <row r="409" ht="14.25" customHeight="1"/>
    <row r="410" ht="14.25" customHeight="1">
      <c r="A410" s="657" t="s">
        <v>805</v>
      </c>
      <c r="B410" s="658" t="s">
        <v>1128</v>
      </c>
      <c r="C410" s="828" t="s">
        <v>53</v>
      </c>
      <c r="D410" s="829"/>
      <c r="E410" s="830"/>
      <c r="F410" s="831"/>
    </row>
    <row r="411" ht="14.25" customHeight="1">
      <c r="A411" s="627" t="s">
        <v>1129</v>
      </c>
      <c r="B411" s="561"/>
      <c r="C411" s="561"/>
      <c r="D411" s="561"/>
      <c r="E411" s="561"/>
      <c r="F411" s="124"/>
    </row>
    <row r="412" ht="14.25" customHeight="1">
      <c r="A412" s="660"/>
      <c r="B412" s="661" t="s">
        <v>918</v>
      </c>
      <c r="C412" s="595" t="s">
        <v>919</v>
      </c>
      <c r="D412" s="596" t="s">
        <v>920</v>
      </c>
      <c r="E412" s="632" t="s">
        <v>921</v>
      </c>
      <c r="F412" s="662" t="s">
        <v>922</v>
      </c>
    </row>
    <row r="413" ht="14.25" customHeight="1">
      <c r="A413" s="663">
        <v>88256.0</v>
      </c>
      <c r="B413" s="688" t="s">
        <v>1061</v>
      </c>
      <c r="C413" s="601" t="s">
        <v>924</v>
      </c>
      <c r="D413" s="665">
        <v>1.7</v>
      </c>
      <c r="E413" s="636">
        <v>24.49</v>
      </c>
      <c r="F413" s="666" t="str">
        <f t="shared" ref="F413:F415" si="31">TRUNC((D413*E413),2)</f>
        <v>41.63</v>
      </c>
    </row>
    <row r="414" ht="14.25" customHeight="1">
      <c r="A414" s="663">
        <v>88309.0</v>
      </c>
      <c r="B414" s="688" t="s">
        <v>964</v>
      </c>
      <c r="C414" s="601" t="s">
        <v>924</v>
      </c>
      <c r="D414" s="665">
        <v>0.6</v>
      </c>
      <c r="E414" s="175">
        <v>24.59</v>
      </c>
      <c r="F414" s="666" t="str">
        <f t="shared" si="31"/>
        <v>14.75</v>
      </c>
    </row>
    <row r="415" ht="14.25" customHeight="1">
      <c r="A415" s="634">
        <v>88316.0</v>
      </c>
      <c r="B415" s="688" t="s">
        <v>935</v>
      </c>
      <c r="C415" s="601" t="s">
        <v>924</v>
      </c>
      <c r="D415" s="665">
        <v>1.8</v>
      </c>
      <c r="E415" s="605">
        <v>19.45</v>
      </c>
      <c r="F415" s="666" t="str">
        <f t="shared" si="31"/>
        <v>35.01</v>
      </c>
    </row>
    <row r="416" ht="14.25" customHeight="1">
      <c r="A416" s="668"/>
      <c r="B416" s="669"/>
      <c r="C416" s="858" t="s">
        <v>910</v>
      </c>
      <c r="D416" s="859" t="s">
        <v>910</v>
      </c>
      <c r="E416" s="860" t="s">
        <v>927</v>
      </c>
      <c r="F416" s="670" t="str">
        <f>SUM(F413:F415)</f>
        <v>91.39</v>
      </c>
    </row>
    <row r="417" ht="14.25" customHeight="1">
      <c r="A417" s="606"/>
      <c r="B417" s="594" t="s">
        <v>936</v>
      </c>
      <c r="C417" s="595" t="s">
        <v>919</v>
      </c>
      <c r="D417" s="596" t="s">
        <v>920</v>
      </c>
      <c r="E417" s="597" t="s">
        <v>921</v>
      </c>
      <c r="F417" s="598" t="s">
        <v>922</v>
      </c>
    </row>
    <row r="418" ht="14.25" customHeight="1">
      <c r="A418" s="691">
        <v>370.0</v>
      </c>
      <c r="B418" s="600" t="s">
        <v>1130</v>
      </c>
      <c r="C418" s="601" t="s">
        <v>58</v>
      </c>
      <c r="D418" s="810">
        <v>0.021</v>
      </c>
      <c r="E418" s="636">
        <v>125.0</v>
      </c>
      <c r="F418" s="666" t="str">
        <f t="shared" ref="F418:F423" si="32">TRUNC((D418*E418),2)</f>
        <v>2.62</v>
      </c>
    </row>
    <row r="419" ht="14.25" customHeight="1">
      <c r="A419" s="691">
        <v>1106.0</v>
      </c>
      <c r="B419" s="600" t="s">
        <v>1131</v>
      </c>
      <c r="C419" s="601" t="s">
        <v>107</v>
      </c>
      <c r="D419" s="810">
        <v>4.64</v>
      </c>
      <c r="E419" s="636">
        <v>0.95</v>
      </c>
      <c r="F419" s="666" t="str">
        <f t="shared" si="32"/>
        <v>4.40</v>
      </c>
    </row>
    <row r="420" ht="14.25" customHeight="1">
      <c r="A420" s="691">
        <v>34361.0</v>
      </c>
      <c r="B420" s="600" t="s">
        <v>1132</v>
      </c>
      <c r="C420" s="601" t="s">
        <v>107</v>
      </c>
      <c r="D420" s="810">
        <v>1.34</v>
      </c>
      <c r="E420" s="636">
        <v>21.57</v>
      </c>
      <c r="F420" s="666" t="str">
        <f t="shared" si="32"/>
        <v>28.90</v>
      </c>
    </row>
    <row r="421" ht="14.25" customHeight="1">
      <c r="A421" s="691">
        <v>13284.0</v>
      </c>
      <c r="B421" s="600" t="s">
        <v>1133</v>
      </c>
      <c r="C421" s="601" t="s">
        <v>107</v>
      </c>
      <c r="D421" s="673">
        <v>2.22</v>
      </c>
      <c r="E421" s="636">
        <v>0.95</v>
      </c>
      <c r="F421" s="666" t="str">
        <f t="shared" si="32"/>
        <v>2.10</v>
      </c>
    </row>
    <row r="422" ht="14.25" customHeight="1">
      <c r="A422" s="691">
        <v>1380.0</v>
      </c>
      <c r="B422" s="600" t="s">
        <v>1134</v>
      </c>
      <c r="C422" s="601" t="s">
        <v>107</v>
      </c>
      <c r="D422" s="673">
        <v>2.5</v>
      </c>
      <c r="E422" s="636">
        <v>2.95</v>
      </c>
      <c r="F422" s="666" t="str">
        <f t="shared" si="32"/>
        <v>7.37</v>
      </c>
    </row>
    <row r="423" ht="14.25" customHeight="1">
      <c r="A423" s="691">
        <v>11795.0</v>
      </c>
      <c r="B423" s="600" t="s">
        <v>1135</v>
      </c>
      <c r="C423" s="601" t="s">
        <v>53</v>
      </c>
      <c r="D423" s="673">
        <v>1.05</v>
      </c>
      <c r="E423" s="636">
        <v>830.18</v>
      </c>
      <c r="F423" s="666" t="str">
        <f t="shared" si="32"/>
        <v>871.68</v>
      </c>
    </row>
    <row r="424" ht="14.25" customHeight="1">
      <c r="A424" s="803"/>
      <c r="B424" s="861"/>
      <c r="C424" s="188"/>
      <c r="D424" s="862"/>
      <c r="E424" s="863" t="s">
        <v>927</v>
      </c>
      <c r="F424" s="864" t="str">
        <f>SUM(F418:F423)</f>
        <v>917.07</v>
      </c>
    </row>
    <row r="425" ht="14.25" customHeight="1">
      <c r="A425" s="611"/>
      <c r="B425" s="612" t="s">
        <v>928</v>
      </c>
      <c r="C425" s="613"/>
      <c r="D425" s="613"/>
      <c r="E425" s="865"/>
      <c r="F425" s="615" t="str">
        <f>F416+F424</f>
        <v>1,008.46</v>
      </c>
    </row>
    <row r="426" ht="14.25" customHeight="1"/>
    <row r="427" ht="28.5" customHeight="1">
      <c r="A427" s="657" t="s">
        <v>792</v>
      </c>
      <c r="B427" s="866" t="s">
        <v>1136</v>
      </c>
      <c r="C427" s="589" t="s">
        <v>53</v>
      </c>
      <c r="D427" s="590"/>
      <c r="E427" s="591"/>
      <c r="F427" s="626"/>
    </row>
    <row r="428" ht="14.25" customHeight="1">
      <c r="A428" s="627" t="s">
        <v>1137</v>
      </c>
      <c r="B428" s="561"/>
      <c r="C428" s="561"/>
      <c r="D428" s="561"/>
      <c r="E428" s="561"/>
      <c r="F428" s="124"/>
    </row>
    <row r="429" ht="14.25" customHeight="1">
      <c r="A429" s="660"/>
      <c r="B429" s="661" t="s">
        <v>918</v>
      </c>
      <c r="C429" s="595" t="s">
        <v>919</v>
      </c>
      <c r="D429" s="596" t="s">
        <v>920</v>
      </c>
      <c r="E429" s="597" t="s">
        <v>921</v>
      </c>
      <c r="F429" s="662" t="s">
        <v>922</v>
      </c>
    </row>
    <row r="430" ht="14.25" customHeight="1">
      <c r="A430" s="634">
        <v>88316.0</v>
      </c>
      <c r="B430" s="688" t="s">
        <v>935</v>
      </c>
      <c r="C430" s="601" t="s">
        <v>924</v>
      </c>
      <c r="D430" s="693">
        <v>3.333</v>
      </c>
      <c r="E430" s="605">
        <v>19.45</v>
      </c>
      <c r="F430" s="666" t="str">
        <f t="shared" ref="F430:F431" si="33">TRUNC((D430*E430),2)</f>
        <v>64.82</v>
      </c>
    </row>
    <row r="431" ht="14.25" customHeight="1">
      <c r="A431" s="663">
        <v>88309.0</v>
      </c>
      <c r="B431" s="688" t="s">
        <v>964</v>
      </c>
      <c r="C431" s="601" t="s">
        <v>924</v>
      </c>
      <c r="D431" s="693">
        <v>3.333</v>
      </c>
      <c r="E431" s="175">
        <v>24.59</v>
      </c>
      <c r="F431" s="666" t="str">
        <f t="shared" si="33"/>
        <v>81.95</v>
      </c>
    </row>
    <row r="432" ht="14.25" customHeight="1">
      <c r="A432" s="667"/>
      <c r="B432" s="669"/>
      <c r="C432" s="607" t="s">
        <v>910</v>
      </c>
      <c r="D432" s="608" t="s">
        <v>910</v>
      </c>
      <c r="E432" s="609" t="s">
        <v>927</v>
      </c>
      <c r="F432" s="670" t="str">
        <f>SUM(F430:F431)</f>
        <v>146.77</v>
      </c>
    </row>
    <row r="433" ht="14.25" customHeight="1">
      <c r="A433" s="663"/>
      <c r="B433" s="594" t="s">
        <v>936</v>
      </c>
      <c r="C433" s="595" t="s">
        <v>919</v>
      </c>
      <c r="D433" s="596" t="s">
        <v>920</v>
      </c>
      <c r="E433" s="597" t="s">
        <v>921</v>
      </c>
      <c r="F433" s="598" t="s">
        <v>922</v>
      </c>
    </row>
    <row r="434" ht="14.25" customHeight="1">
      <c r="A434" s="645">
        <v>11795.0</v>
      </c>
      <c r="B434" s="635" t="s">
        <v>1138</v>
      </c>
      <c r="C434" s="867" t="s">
        <v>53</v>
      </c>
      <c r="D434" s="693">
        <v>1.0</v>
      </c>
      <c r="E434" s="636">
        <v>830.18</v>
      </c>
      <c r="F434" s="666" t="str">
        <f t="shared" ref="F434:F435" si="34">TRUNC((D434*E434),2)</f>
        <v>830.18</v>
      </c>
    </row>
    <row r="435" ht="14.25" customHeight="1">
      <c r="A435" s="691">
        <v>370.0</v>
      </c>
      <c r="B435" s="600" t="s">
        <v>1130</v>
      </c>
      <c r="C435" s="601" t="s">
        <v>58</v>
      </c>
      <c r="D435" s="693">
        <v>0.0087</v>
      </c>
      <c r="E435" s="636">
        <v>125.0</v>
      </c>
      <c r="F435" s="666" t="str">
        <f t="shared" si="34"/>
        <v>1.08</v>
      </c>
    </row>
    <row r="436" ht="14.25" customHeight="1">
      <c r="A436" s="691">
        <v>13284.0</v>
      </c>
      <c r="B436" s="600" t="s">
        <v>1133</v>
      </c>
      <c r="C436" s="601" t="s">
        <v>107</v>
      </c>
      <c r="D436" s="693">
        <v>0.0154</v>
      </c>
      <c r="E436" s="636">
        <v>0.95</v>
      </c>
      <c r="F436" s="666" t="str">
        <f>ROUNDUP((D436*E436),2)</f>
        <v>0.02</v>
      </c>
    </row>
    <row r="437" ht="14.25" customHeight="1">
      <c r="A437" s="803"/>
      <c r="B437" s="804"/>
      <c r="C437" s="187"/>
      <c r="D437" s="805"/>
      <c r="E437" s="806" t="s">
        <v>927</v>
      </c>
      <c r="F437" s="868" t="str">
        <f>SUM(F434:F436)</f>
        <v>831.28</v>
      </c>
    </row>
    <row r="438" ht="14.25" customHeight="1">
      <c r="A438" s="616"/>
      <c r="B438" s="808" t="s">
        <v>928</v>
      </c>
      <c r="C438" s="28"/>
      <c r="D438" s="28"/>
      <c r="E438" s="618"/>
      <c r="F438" s="869" t="str">
        <f>F432+F437</f>
        <v>978.05</v>
      </c>
    </row>
    <row r="439" ht="14.25" customHeight="1">
      <c r="A439" s="870"/>
      <c r="B439" s="206"/>
      <c r="C439" s="448"/>
      <c r="D439" s="871"/>
      <c r="E439" s="368"/>
      <c r="F439" s="792"/>
    </row>
    <row r="440" ht="14.25" customHeight="1">
      <c r="A440" s="587" t="s">
        <v>797</v>
      </c>
      <c r="B440" s="866" t="s">
        <v>798</v>
      </c>
      <c r="C440" s="589" t="s">
        <v>69</v>
      </c>
      <c r="D440" s="590"/>
      <c r="E440" s="591"/>
      <c r="F440" s="626"/>
    </row>
    <row r="441" ht="14.25" customHeight="1">
      <c r="A441" s="627" t="s">
        <v>1139</v>
      </c>
      <c r="B441" s="561"/>
      <c r="C441" s="561"/>
      <c r="D441" s="561"/>
      <c r="E441" s="561"/>
      <c r="F441" s="124"/>
    </row>
    <row r="442" ht="14.25" customHeight="1">
      <c r="A442" s="660"/>
      <c r="B442" s="661" t="s">
        <v>918</v>
      </c>
      <c r="C442" s="595" t="s">
        <v>919</v>
      </c>
      <c r="D442" s="596" t="s">
        <v>920</v>
      </c>
      <c r="E442" s="597" t="s">
        <v>921</v>
      </c>
      <c r="F442" s="662" t="s">
        <v>922</v>
      </c>
    </row>
    <row r="443" ht="14.25" customHeight="1">
      <c r="A443" s="634">
        <v>88316.0</v>
      </c>
      <c r="B443" s="688" t="s">
        <v>935</v>
      </c>
      <c r="C443" s="601" t="s">
        <v>924</v>
      </c>
      <c r="D443" s="636">
        <v>0.2</v>
      </c>
      <c r="E443" s="605">
        <v>19.45</v>
      </c>
      <c r="F443" s="666" t="str">
        <f t="shared" ref="F443:F444" si="35">TRUNC((D443*E443),2)</f>
        <v>3.89</v>
      </c>
    </row>
    <row r="444" ht="14.25" customHeight="1">
      <c r="A444" s="599">
        <v>88309.0</v>
      </c>
      <c r="B444" s="600" t="s">
        <v>964</v>
      </c>
      <c r="C444" s="601" t="s">
        <v>924</v>
      </c>
      <c r="D444" s="636">
        <v>0.2</v>
      </c>
      <c r="E444" s="175">
        <v>24.59</v>
      </c>
      <c r="F444" s="666" t="str">
        <f t="shared" si="35"/>
        <v>4.91</v>
      </c>
    </row>
    <row r="445" ht="14.25" customHeight="1">
      <c r="A445" s="667"/>
      <c r="B445" s="669"/>
      <c r="C445" s="607" t="s">
        <v>910</v>
      </c>
      <c r="D445" s="608" t="s">
        <v>910</v>
      </c>
      <c r="E445" s="609" t="s">
        <v>927</v>
      </c>
      <c r="F445" s="670" t="str">
        <f>SUM(F443:F444)</f>
        <v>8.80</v>
      </c>
    </row>
    <row r="446" ht="14.25" customHeight="1">
      <c r="A446" s="663"/>
      <c r="B446" s="594" t="s">
        <v>936</v>
      </c>
      <c r="C446" s="595" t="s">
        <v>919</v>
      </c>
      <c r="D446" s="596" t="s">
        <v>920</v>
      </c>
      <c r="E446" s="597" t="s">
        <v>921</v>
      </c>
      <c r="F446" s="598" t="s">
        <v>922</v>
      </c>
    </row>
    <row r="447" ht="14.25" customHeight="1">
      <c r="A447" s="645">
        <v>37329.0</v>
      </c>
      <c r="B447" s="664" t="s">
        <v>1140</v>
      </c>
      <c r="C447" s="601" t="s">
        <v>58</v>
      </c>
      <c r="D447" s="693">
        <v>0.1</v>
      </c>
      <c r="E447" s="636">
        <v>123.67</v>
      </c>
      <c r="F447" s="666" t="str">
        <f t="shared" ref="F447:F449" si="36">TRUNC((D447*E447),2)</f>
        <v>12.36</v>
      </c>
    </row>
    <row r="448" ht="14.25" customHeight="1">
      <c r="A448" s="646">
        <v>37595.0</v>
      </c>
      <c r="B448" s="647" t="s">
        <v>1141</v>
      </c>
      <c r="C448" s="675" t="s">
        <v>107</v>
      </c>
      <c r="D448" s="872">
        <v>0.5</v>
      </c>
      <c r="E448" s="648">
        <v>3.07</v>
      </c>
      <c r="F448" s="677" t="str">
        <f t="shared" si="36"/>
        <v>1.53</v>
      </c>
    </row>
    <row r="449" ht="14.25" customHeight="1">
      <c r="A449" s="678">
        <v>20231.0</v>
      </c>
      <c r="B449" s="873" t="s">
        <v>1142</v>
      </c>
      <c r="C449" s="680" t="s">
        <v>69</v>
      </c>
      <c r="D449" s="874">
        <v>1.0</v>
      </c>
      <c r="E449" s="682">
        <v>81.86</v>
      </c>
      <c r="F449" s="683" t="str">
        <f t="shared" si="36"/>
        <v>81.86</v>
      </c>
    </row>
    <row r="450" ht="14.25" customHeight="1">
      <c r="A450" s="803"/>
      <c r="B450" s="804"/>
      <c r="C450" s="187"/>
      <c r="D450" s="805"/>
      <c r="E450" s="806" t="s">
        <v>927</v>
      </c>
      <c r="F450" s="868" t="str">
        <f>SUM(F447:F449)</f>
        <v>95.75</v>
      </c>
    </row>
    <row r="451" ht="14.25" customHeight="1">
      <c r="A451" s="616"/>
      <c r="B451" s="808" t="s">
        <v>928</v>
      </c>
      <c r="C451" s="28"/>
      <c r="D451" s="28"/>
      <c r="E451" s="618"/>
      <c r="F451" s="869" t="str">
        <f>F445+F450</f>
        <v>104.55</v>
      </c>
    </row>
    <row r="452" ht="14.25" customHeight="1">
      <c r="A452" s="875"/>
      <c r="B452" s="743"/>
      <c r="C452" s="295"/>
      <c r="D452" s="750"/>
      <c r="E452" s="750"/>
      <c r="F452" s="876"/>
    </row>
    <row r="453" ht="14.25" customHeight="1">
      <c r="A453" s="587" t="s">
        <v>800</v>
      </c>
      <c r="B453" s="866" t="s">
        <v>801</v>
      </c>
      <c r="C453" s="589" t="s">
        <v>53</v>
      </c>
      <c r="D453" s="590"/>
      <c r="E453" s="591"/>
      <c r="F453" s="626"/>
    </row>
    <row r="454" ht="15.0" customHeight="1">
      <c r="A454" s="838" t="s">
        <v>1143</v>
      </c>
      <c r="B454" s="127"/>
      <c r="C454" s="127"/>
      <c r="D454" s="127"/>
      <c r="E454" s="127"/>
      <c r="F454" s="128"/>
    </row>
    <row r="455" ht="14.25" customHeight="1">
      <c r="A455" s="839"/>
      <c r="B455" s="840" t="s">
        <v>918</v>
      </c>
      <c r="C455" s="841" t="s">
        <v>919</v>
      </c>
      <c r="D455" s="842" t="s">
        <v>920</v>
      </c>
      <c r="E455" s="704" t="s">
        <v>921</v>
      </c>
      <c r="F455" s="843" t="s">
        <v>922</v>
      </c>
    </row>
    <row r="456" ht="14.25" customHeight="1">
      <c r="A456" s="634">
        <v>88316.0</v>
      </c>
      <c r="B456" s="688" t="s">
        <v>935</v>
      </c>
      <c r="C456" s="601" t="s">
        <v>924</v>
      </c>
      <c r="D456" s="636">
        <v>2.0</v>
      </c>
      <c r="E456" s="605">
        <v>19.45</v>
      </c>
      <c r="F456" s="666" t="str">
        <f t="shared" ref="F456:F457" si="37">TRUNC((D456*E456),2)</f>
        <v>38.90</v>
      </c>
    </row>
    <row r="457" ht="14.25" customHeight="1">
      <c r="A457" s="599">
        <v>88309.0</v>
      </c>
      <c r="B457" s="600" t="s">
        <v>964</v>
      </c>
      <c r="C457" s="601" t="s">
        <v>924</v>
      </c>
      <c r="D457" s="636">
        <v>2.0</v>
      </c>
      <c r="E457" s="175">
        <v>24.59</v>
      </c>
      <c r="F457" s="666" t="str">
        <f t="shared" si="37"/>
        <v>49.18</v>
      </c>
    </row>
    <row r="458" ht="14.25" customHeight="1">
      <c r="A458" s="667"/>
      <c r="B458" s="669"/>
      <c r="C458" s="607" t="s">
        <v>910</v>
      </c>
      <c r="D458" s="608" t="s">
        <v>910</v>
      </c>
      <c r="E458" s="609" t="s">
        <v>927</v>
      </c>
      <c r="F458" s="670" t="str">
        <f>SUM(F456:F457)</f>
        <v>88.08</v>
      </c>
    </row>
    <row r="459" ht="14.25" customHeight="1">
      <c r="A459" s="663"/>
      <c r="B459" s="594" t="s">
        <v>936</v>
      </c>
      <c r="C459" s="595" t="s">
        <v>919</v>
      </c>
      <c r="D459" s="596" t="s">
        <v>920</v>
      </c>
      <c r="E459" s="597" t="s">
        <v>921</v>
      </c>
      <c r="F459" s="598" t="s">
        <v>922</v>
      </c>
    </row>
    <row r="460" ht="14.25" customHeight="1">
      <c r="A460" s="645">
        <v>102486.0</v>
      </c>
      <c r="B460" s="600" t="s">
        <v>1144</v>
      </c>
      <c r="C460" s="601" t="s">
        <v>58</v>
      </c>
      <c r="D460" s="693">
        <v>0.07</v>
      </c>
      <c r="E460" s="636">
        <v>707.32</v>
      </c>
      <c r="F460" s="666" t="str">
        <f t="shared" ref="F460:F464" si="38">TRUNC((D460*E460),2)</f>
        <v>49.51</v>
      </c>
    </row>
    <row r="461" ht="30.0" customHeight="1">
      <c r="A461" s="645">
        <v>103670.0</v>
      </c>
      <c r="B461" s="600" t="s">
        <v>1145</v>
      </c>
      <c r="C461" s="601" t="s">
        <v>58</v>
      </c>
      <c r="D461" s="693">
        <v>0.07</v>
      </c>
      <c r="E461" s="636">
        <v>266.11</v>
      </c>
      <c r="F461" s="666" t="str">
        <f t="shared" si="38"/>
        <v>18.62</v>
      </c>
    </row>
    <row r="462" ht="14.25" customHeight="1">
      <c r="A462" s="645">
        <v>96536.0</v>
      </c>
      <c r="B462" s="600" t="s">
        <v>100</v>
      </c>
      <c r="C462" s="867" t="s">
        <v>53</v>
      </c>
      <c r="D462" s="693">
        <v>1.67</v>
      </c>
      <c r="E462" s="636">
        <v>75.89</v>
      </c>
      <c r="F462" s="666" t="str">
        <f t="shared" si="38"/>
        <v>126.73</v>
      </c>
    </row>
    <row r="463" ht="14.25" customHeight="1">
      <c r="A463" s="645">
        <v>92803.0</v>
      </c>
      <c r="B463" s="600" t="s">
        <v>1146</v>
      </c>
      <c r="C463" s="601" t="s">
        <v>107</v>
      </c>
      <c r="D463" s="693">
        <v>4.4</v>
      </c>
      <c r="E463" s="636">
        <v>12.06</v>
      </c>
      <c r="F463" s="666" t="str">
        <f t="shared" si="38"/>
        <v>53.06</v>
      </c>
    </row>
    <row r="464" ht="14.25" customHeight="1">
      <c r="A464" s="663">
        <v>345.0</v>
      </c>
      <c r="B464" s="600" t="s">
        <v>1147</v>
      </c>
      <c r="C464" s="601" t="s">
        <v>107</v>
      </c>
      <c r="D464" s="693">
        <v>0.1</v>
      </c>
      <c r="E464" s="636">
        <v>35.51</v>
      </c>
      <c r="F464" s="666" t="str">
        <f t="shared" si="38"/>
        <v>3.55</v>
      </c>
    </row>
    <row r="465" ht="14.25" customHeight="1">
      <c r="A465" s="803"/>
      <c r="B465" s="804"/>
      <c r="C465" s="187"/>
      <c r="D465" s="805"/>
      <c r="E465" s="806" t="s">
        <v>927</v>
      </c>
      <c r="F465" s="868" t="str">
        <f>SUM(F460:F464)</f>
        <v>251.47</v>
      </c>
    </row>
    <row r="466" ht="14.25" customHeight="1">
      <c r="A466" s="616"/>
      <c r="B466" s="808" t="s">
        <v>928</v>
      </c>
      <c r="C466" s="28"/>
      <c r="D466" s="28"/>
      <c r="E466" s="618"/>
      <c r="F466" s="869" t="str">
        <f>F458+F465</f>
        <v>339.55</v>
      </c>
    </row>
    <row r="467" ht="14.25" customHeight="1">
      <c r="A467" s="875"/>
      <c r="B467" s="743"/>
      <c r="C467" s="295"/>
      <c r="D467" s="750"/>
      <c r="E467" s="750"/>
      <c r="F467" s="876"/>
    </row>
    <row r="468" ht="15.75" customHeight="1">
      <c r="A468" s="587" t="s">
        <v>325</v>
      </c>
      <c r="B468" s="866" t="s">
        <v>326</v>
      </c>
      <c r="C468" s="589" t="s">
        <v>53</v>
      </c>
      <c r="D468" s="590"/>
      <c r="E468" s="591"/>
      <c r="F468" s="626"/>
    </row>
    <row r="469" ht="14.25" customHeight="1">
      <c r="A469" s="627" t="s">
        <v>1148</v>
      </c>
      <c r="B469" s="561"/>
      <c r="C469" s="561"/>
      <c r="D469" s="561"/>
      <c r="E469" s="561"/>
      <c r="F469" s="124"/>
    </row>
    <row r="470" ht="14.25" customHeight="1">
      <c r="A470" s="660"/>
      <c r="B470" s="661" t="s">
        <v>918</v>
      </c>
      <c r="C470" s="595" t="s">
        <v>919</v>
      </c>
      <c r="D470" s="596" t="s">
        <v>920</v>
      </c>
      <c r="E470" s="597" t="s">
        <v>921</v>
      </c>
      <c r="F470" s="662" t="s">
        <v>922</v>
      </c>
    </row>
    <row r="471" ht="14.25" customHeight="1">
      <c r="A471" s="599">
        <v>88309.0</v>
      </c>
      <c r="B471" s="600" t="s">
        <v>964</v>
      </c>
      <c r="C471" s="601" t="s">
        <v>924</v>
      </c>
      <c r="D471" s="665">
        <v>0.113</v>
      </c>
      <c r="E471" s="175">
        <v>24.59</v>
      </c>
      <c r="F471" s="666" t="str">
        <f t="shared" ref="F471:F472" si="39">TRUNC((D471*E471),2)</f>
        <v>2.77</v>
      </c>
    </row>
    <row r="472" ht="14.25" customHeight="1">
      <c r="A472" s="634">
        <v>88316.0</v>
      </c>
      <c r="B472" s="688" t="s">
        <v>935</v>
      </c>
      <c r="C472" s="601" t="s">
        <v>924</v>
      </c>
      <c r="D472" s="665">
        <v>0.0361</v>
      </c>
      <c r="E472" s="605">
        <v>19.45</v>
      </c>
      <c r="F472" s="666" t="str">
        <f t="shared" si="39"/>
        <v>0.70</v>
      </c>
    </row>
    <row r="473" ht="14.25" customHeight="1">
      <c r="A473" s="667"/>
      <c r="B473" s="669"/>
      <c r="C473" s="607" t="s">
        <v>910</v>
      </c>
      <c r="D473" s="608" t="s">
        <v>910</v>
      </c>
      <c r="E473" s="609" t="s">
        <v>927</v>
      </c>
      <c r="F473" s="670" t="str">
        <f>SUM(F471:F472)</f>
        <v>3.47</v>
      </c>
    </row>
    <row r="474" ht="14.25" customHeight="1">
      <c r="A474" s="663"/>
      <c r="B474" s="594" t="s">
        <v>936</v>
      </c>
      <c r="C474" s="595" t="s">
        <v>919</v>
      </c>
      <c r="D474" s="596" t="s">
        <v>920</v>
      </c>
      <c r="E474" s="597" t="s">
        <v>921</v>
      </c>
      <c r="F474" s="598" t="s">
        <v>922</v>
      </c>
    </row>
    <row r="475" ht="14.25" customHeight="1">
      <c r="A475" s="645">
        <v>7334.0</v>
      </c>
      <c r="B475" s="600" t="s">
        <v>1149</v>
      </c>
      <c r="C475" s="877" t="s">
        <v>1150</v>
      </c>
      <c r="D475" s="693">
        <v>0.2</v>
      </c>
      <c r="E475" s="636">
        <v>21.98</v>
      </c>
      <c r="F475" s="666" t="str">
        <f t="shared" ref="F475:F476" si="40">TRUNC((D475*E475),2)</f>
        <v>4.39</v>
      </c>
    </row>
    <row r="476" ht="14.25" customHeight="1">
      <c r="A476" s="645">
        <v>38546.0</v>
      </c>
      <c r="B476" s="600" t="s">
        <v>1151</v>
      </c>
      <c r="C476" s="867" t="s">
        <v>58</v>
      </c>
      <c r="D476" s="665">
        <v>0.0312</v>
      </c>
      <c r="E476" s="636">
        <v>642.23</v>
      </c>
      <c r="F476" s="666" t="str">
        <f t="shared" si="40"/>
        <v>20.03</v>
      </c>
    </row>
    <row r="477" ht="14.25" customHeight="1">
      <c r="A477" s="803"/>
      <c r="B477" s="804"/>
      <c r="C477" s="187"/>
      <c r="D477" s="805"/>
      <c r="E477" s="806" t="s">
        <v>927</v>
      </c>
      <c r="F477" s="868" t="str">
        <f>SUM(F475:F476)</f>
        <v>24.42</v>
      </c>
    </row>
    <row r="478" ht="14.25" customHeight="1">
      <c r="A478" s="616"/>
      <c r="B478" s="808" t="s">
        <v>928</v>
      </c>
      <c r="C478" s="28"/>
      <c r="D478" s="28"/>
      <c r="E478" s="618"/>
      <c r="F478" s="869" t="str">
        <f>F473+F477</f>
        <v>27.89</v>
      </c>
    </row>
    <row r="479" ht="14.25" customHeight="1">
      <c r="A479" s="323"/>
      <c r="B479" s="878"/>
      <c r="C479" s="878"/>
      <c r="D479" s="878"/>
      <c r="E479" s="878"/>
      <c r="F479" s="879"/>
    </row>
    <row r="480" ht="53.25" customHeight="1">
      <c r="A480" s="587" t="s">
        <v>348</v>
      </c>
      <c r="B480" s="866" t="s">
        <v>349</v>
      </c>
      <c r="C480" s="589" t="s">
        <v>53</v>
      </c>
      <c r="D480" s="590"/>
      <c r="E480" s="591"/>
      <c r="F480" s="626"/>
    </row>
    <row r="481" ht="14.25" customHeight="1">
      <c r="A481" s="627" t="s">
        <v>1152</v>
      </c>
      <c r="B481" s="561"/>
      <c r="C481" s="561"/>
      <c r="D481" s="561"/>
      <c r="E481" s="561"/>
      <c r="F481" s="124"/>
    </row>
    <row r="482" ht="14.25" customHeight="1">
      <c r="A482" s="660"/>
      <c r="B482" s="661" t="s">
        <v>918</v>
      </c>
      <c r="C482" s="595" t="s">
        <v>919</v>
      </c>
      <c r="D482" s="596" t="s">
        <v>920</v>
      </c>
      <c r="E482" s="597" t="s">
        <v>921</v>
      </c>
      <c r="F482" s="662" t="s">
        <v>922</v>
      </c>
    </row>
    <row r="483" ht="14.25" customHeight="1">
      <c r="A483" s="634">
        <v>88316.0</v>
      </c>
      <c r="B483" s="688" t="s">
        <v>935</v>
      </c>
      <c r="C483" s="601" t="s">
        <v>924</v>
      </c>
      <c r="D483" s="693">
        <v>0.062</v>
      </c>
      <c r="E483" s="605">
        <v>19.45</v>
      </c>
      <c r="F483" s="666" t="str">
        <f t="shared" ref="F483:F484" si="41">TRUNC((D483*E483),2)</f>
        <v>1.20</v>
      </c>
    </row>
    <row r="484" ht="14.25" customHeight="1">
      <c r="A484" s="634">
        <v>88323.0</v>
      </c>
      <c r="B484" s="635" t="s">
        <v>1153</v>
      </c>
      <c r="C484" s="601" t="s">
        <v>924</v>
      </c>
      <c r="D484" s="693">
        <v>0.056</v>
      </c>
      <c r="E484" s="605">
        <v>24.07</v>
      </c>
      <c r="F484" s="666" t="str">
        <f t="shared" si="41"/>
        <v>1.34</v>
      </c>
    </row>
    <row r="485" ht="14.25" customHeight="1">
      <c r="A485" s="667"/>
      <c r="B485" s="669"/>
      <c r="C485" s="607" t="s">
        <v>910</v>
      </c>
      <c r="D485" s="608" t="s">
        <v>910</v>
      </c>
      <c r="E485" s="609" t="s">
        <v>927</v>
      </c>
      <c r="F485" s="670" t="str">
        <f>SUM(F483:F484)</f>
        <v>2.54</v>
      </c>
    </row>
    <row r="486" ht="14.25" customHeight="1">
      <c r="A486" s="663"/>
      <c r="B486" s="594" t="s">
        <v>936</v>
      </c>
      <c r="C486" s="595" t="s">
        <v>919</v>
      </c>
      <c r="D486" s="596" t="s">
        <v>920</v>
      </c>
      <c r="E486" s="597" t="s">
        <v>921</v>
      </c>
      <c r="F486" s="598" t="s">
        <v>922</v>
      </c>
    </row>
    <row r="487" ht="14.25" customHeight="1">
      <c r="A487" s="645">
        <v>11029.0</v>
      </c>
      <c r="B487" s="635" t="s">
        <v>1154</v>
      </c>
      <c r="C487" s="867" t="s">
        <v>1155</v>
      </c>
      <c r="D487" s="693">
        <v>4.15</v>
      </c>
      <c r="E487" s="636">
        <v>1.96</v>
      </c>
      <c r="F487" s="666" t="str">
        <f t="shared" ref="F487:F490" si="42">TRUNC((D487*E487),2)</f>
        <v>8.13</v>
      </c>
    </row>
    <row r="488" ht="14.25" customHeight="1">
      <c r="A488" s="645">
        <v>93281.0</v>
      </c>
      <c r="B488" s="635" t="s">
        <v>1156</v>
      </c>
      <c r="C488" s="867" t="s">
        <v>1157</v>
      </c>
      <c r="D488" s="665">
        <v>9.0E-4</v>
      </c>
      <c r="E488" s="636">
        <v>19.51</v>
      </c>
      <c r="F488" s="666" t="str">
        <f t="shared" si="42"/>
        <v>0.01</v>
      </c>
    </row>
    <row r="489" ht="14.25" customHeight="1">
      <c r="A489" s="645">
        <v>93282.0</v>
      </c>
      <c r="B489" s="635" t="s">
        <v>1158</v>
      </c>
      <c r="C489" s="867" t="s">
        <v>1159</v>
      </c>
      <c r="D489" s="665">
        <v>0.0012</v>
      </c>
      <c r="E489" s="636">
        <v>18.32</v>
      </c>
      <c r="F489" s="666" t="str">
        <f t="shared" si="42"/>
        <v>0.02</v>
      </c>
    </row>
    <row r="490" ht="14.25" customHeight="1">
      <c r="A490" s="174">
        <v>39520.0</v>
      </c>
      <c r="B490" s="880" t="s">
        <v>1160</v>
      </c>
      <c r="C490" s="867" t="s">
        <v>53</v>
      </c>
      <c r="D490" s="693">
        <v>1.14</v>
      </c>
      <c r="E490" s="636">
        <v>139.55</v>
      </c>
      <c r="F490" s="666" t="str">
        <f t="shared" si="42"/>
        <v>159.08</v>
      </c>
      <c r="H490" s="204"/>
    </row>
    <row r="491" ht="14.25" customHeight="1">
      <c r="A491" s="158"/>
      <c r="B491" s="804"/>
      <c r="C491" s="187"/>
      <c r="D491" s="805"/>
      <c r="E491" s="806" t="s">
        <v>927</v>
      </c>
      <c r="F491" s="868" t="str">
        <f>SUM(F487:F490)</f>
        <v>167.24</v>
      </c>
    </row>
    <row r="492" ht="14.25" customHeight="1">
      <c r="A492" s="616"/>
      <c r="B492" s="808" t="s">
        <v>928</v>
      </c>
      <c r="C492" s="28"/>
      <c r="D492" s="28"/>
      <c r="E492" s="618"/>
      <c r="F492" s="869" t="str">
        <f>F485+F491</f>
        <v>169.78</v>
      </c>
    </row>
    <row r="493" ht="20.25" customHeight="1">
      <c r="A493" s="335"/>
      <c r="B493" s="744"/>
      <c r="C493" s="745"/>
      <c r="D493" s="624"/>
      <c r="E493" s="624"/>
      <c r="F493" s="335"/>
    </row>
    <row r="494" ht="19.5" customHeight="1">
      <c r="A494" s="587" t="s">
        <v>900</v>
      </c>
      <c r="B494" s="866" t="s">
        <v>901</v>
      </c>
      <c r="C494" s="589" t="s">
        <v>46</v>
      </c>
      <c r="D494" s="590"/>
      <c r="E494" s="591"/>
      <c r="F494" s="626"/>
    </row>
    <row r="495" ht="15.0" customHeight="1">
      <c r="A495" s="627" t="s">
        <v>1161</v>
      </c>
      <c r="B495" s="561"/>
      <c r="C495" s="561"/>
      <c r="D495" s="561"/>
      <c r="E495" s="561"/>
      <c r="F495" s="124"/>
    </row>
    <row r="496" ht="14.25" customHeight="1">
      <c r="A496" s="660"/>
      <c r="B496" s="661" t="s">
        <v>918</v>
      </c>
      <c r="C496" s="595" t="s">
        <v>919</v>
      </c>
      <c r="D496" s="596" t="s">
        <v>920</v>
      </c>
      <c r="E496" s="597" t="s">
        <v>921</v>
      </c>
      <c r="F496" s="662" t="s">
        <v>922</v>
      </c>
    </row>
    <row r="497" ht="14.25" customHeight="1">
      <c r="A497" s="599">
        <v>88309.0</v>
      </c>
      <c r="B497" s="600" t="s">
        <v>964</v>
      </c>
      <c r="C497" s="601" t="s">
        <v>924</v>
      </c>
      <c r="D497" s="665">
        <v>0.25</v>
      </c>
      <c r="E497" s="175">
        <v>24.59</v>
      </c>
      <c r="F497" s="666" t="str">
        <f>TRUNC((D497*E497),2)</f>
        <v>6.14</v>
      </c>
    </row>
    <row r="498" ht="14.25" customHeight="1">
      <c r="A498" s="667"/>
      <c r="B498" s="669"/>
      <c r="C498" s="607" t="s">
        <v>910</v>
      </c>
      <c r="D498" s="608" t="s">
        <v>910</v>
      </c>
      <c r="E498" s="609" t="s">
        <v>927</v>
      </c>
      <c r="F498" s="670" t="str">
        <f>SUM(F497)</f>
        <v>6.14</v>
      </c>
    </row>
    <row r="499" ht="14.25" customHeight="1">
      <c r="A499" s="663"/>
      <c r="B499" s="594" t="s">
        <v>936</v>
      </c>
      <c r="C499" s="595" t="s">
        <v>919</v>
      </c>
      <c r="D499" s="596" t="s">
        <v>920</v>
      </c>
      <c r="E499" s="597" t="s">
        <v>921</v>
      </c>
      <c r="F499" s="598" t="s">
        <v>922</v>
      </c>
    </row>
    <row r="500" ht="14.25" customHeight="1">
      <c r="A500" s="645">
        <v>10848.0</v>
      </c>
      <c r="B500" s="604" t="s">
        <v>1162</v>
      </c>
      <c r="C500" s="877" t="s">
        <v>46</v>
      </c>
      <c r="D500" s="693">
        <v>1.0</v>
      </c>
      <c r="E500" s="636">
        <v>1206.01</v>
      </c>
      <c r="F500" s="666" t="str">
        <f t="shared" ref="F500:F501" si="43">TRUNC((D500*E500),2)</f>
        <v>1,206.01</v>
      </c>
    </row>
    <row r="501" ht="14.25" customHeight="1">
      <c r="A501" s="645">
        <v>11950.0</v>
      </c>
      <c r="B501" s="600" t="s">
        <v>1163</v>
      </c>
      <c r="C501" s="877" t="s">
        <v>46</v>
      </c>
      <c r="D501" s="665">
        <v>4.0</v>
      </c>
      <c r="E501" s="636">
        <v>0.2</v>
      </c>
      <c r="F501" s="666" t="str">
        <f t="shared" si="43"/>
        <v>0.80</v>
      </c>
    </row>
    <row r="502" ht="14.25" customHeight="1">
      <c r="A502" s="803"/>
      <c r="B502" s="804"/>
      <c r="C502" s="187"/>
      <c r="D502" s="805"/>
      <c r="E502" s="806" t="s">
        <v>927</v>
      </c>
      <c r="F502" s="868" t="str">
        <f>SUM(F500:F501)</f>
        <v>1,206.81</v>
      </c>
    </row>
    <row r="503" ht="14.25" customHeight="1">
      <c r="A503" s="616"/>
      <c r="B503" s="808" t="s">
        <v>928</v>
      </c>
      <c r="C503" s="28"/>
      <c r="D503" s="28"/>
      <c r="E503" s="618"/>
      <c r="F503" s="869" t="str">
        <f>F498+F502</f>
        <v>1,212.95</v>
      </c>
    </row>
    <row r="504" ht="14.25" customHeight="1">
      <c r="A504" s="130"/>
      <c r="B504" s="772"/>
      <c r="C504" s="323"/>
      <c r="D504" s="255"/>
      <c r="E504" s="93"/>
      <c r="F504" s="771"/>
    </row>
    <row r="505" ht="14.25" customHeight="1">
      <c r="A505" s="323"/>
      <c r="B505" s="881"/>
      <c r="C505" s="882"/>
      <c r="D505" s="883"/>
      <c r="E505" s="884"/>
      <c r="F505" s="752"/>
    </row>
    <row r="506" ht="30.0" customHeight="1">
      <c r="B506" s="885"/>
      <c r="C506" s="885"/>
      <c r="D506" s="885"/>
      <c r="E506" s="216"/>
    </row>
  </sheetData>
  <mergeCells count="153">
    <mergeCell ref="B478:E478"/>
    <mergeCell ref="B438:E438"/>
    <mergeCell ref="B466:E466"/>
    <mergeCell ref="B451:E451"/>
    <mergeCell ref="A454:F454"/>
    <mergeCell ref="A441:F441"/>
    <mergeCell ref="B343:E343"/>
    <mergeCell ref="D344:E344"/>
    <mergeCell ref="D345:E345"/>
    <mergeCell ref="D346:E346"/>
    <mergeCell ref="D361:E361"/>
    <mergeCell ref="D362:E362"/>
    <mergeCell ref="D363:E363"/>
    <mergeCell ref="D364:E364"/>
    <mergeCell ref="D398:E398"/>
    <mergeCell ref="D365:E365"/>
    <mergeCell ref="D381:E381"/>
    <mergeCell ref="B376:E376"/>
    <mergeCell ref="B377:E377"/>
    <mergeCell ref="D184:E184"/>
    <mergeCell ref="D185:E185"/>
    <mergeCell ref="B181:E181"/>
    <mergeCell ref="B182:E182"/>
    <mergeCell ref="D168:E168"/>
    <mergeCell ref="D169:E169"/>
    <mergeCell ref="D170:E170"/>
    <mergeCell ref="A173:F173"/>
    <mergeCell ref="A157:F157"/>
    <mergeCell ref="B164:E164"/>
    <mergeCell ref="B165:E165"/>
    <mergeCell ref="D166:E166"/>
    <mergeCell ref="D167:E167"/>
    <mergeCell ref="D186:E186"/>
    <mergeCell ref="D183:E183"/>
    <mergeCell ref="D84:E84"/>
    <mergeCell ref="A103:F103"/>
    <mergeCell ref="B94:E94"/>
    <mergeCell ref="B95:E95"/>
    <mergeCell ref="D96:E96"/>
    <mergeCell ref="D97:E97"/>
    <mergeCell ref="D98:E98"/>
    <mergeCell ref="A87:F87"/>
    <mergeCell ref="D114:E114"/>
    <mergeCell ref="B112:E112"/>
    <mergeCell ref="B113:E113"/>
    <mergeCell ref="B129:E129"/>
    <mergeCell ref="B130:E130"/>
    <mergeCell ref="D131:E131"/>
    <mergeCell ref="D132:E132"/>
    <mergeCell ref="D133:E133"/>
    <mergeCell ref="D134:E134"/>
    <mergeCell ref="D135:E135"/>
    <mergeCell ref="D99:E99"/>
    <mergeCell ref="D100:E100"/>
    <mergeCell ref="D115:E115"/>
    <mergeCell ref="D116:E116"/>
    <mergeCell ref="D117:E117"/>
    <mergeCell ref="D118:E118"/>
    <mergeCell ref="A121:F121"/>
    <mergeCell ref="B77:E77"/>
    <mergeCell ref="C78:D78"/>
    <mergeCell ref="D80:E80"/>
    <mergeCell ref="D81:E81"/>
    <mergeCell ref="D82:E82"/>
    <mergeCell ref="D83:E83"/>
    <mergeCell ref="B79:E79"/>
    <mergeCell ref="B22:E22"/>
    <mergeCell ref="B23:E23"/>
    <mergeCell ref="B21:E21"/>
    <mergeCell ref="A14:F14"/>
    <mergeCell ref="A68:F68"/>
    <mergeCell ref="A26:F26"/>
    <mergeCell ref="B38:E38"/>
    <mergeCell ref="B65:E65"/>
    <mergeCell ref="B3:F3"/>
    <mergeCell ref="B4:F4"/>
    <mergeCell ref="B5:F5"/>
    <mergeCell ref="A41:F41"/>
    <mergeCell ref="A368:F368"/>
    <mergeCell ref="B359:E359"/>
    <mergeCell ref="D360:E360"/>
    <mergeCell ref="A495:F495"/>
    <mergeCell ref="B503:E503"/>
    <mergeCell ref="B492:E492"/>
    <mergeCell ref="A351:F351"/>
    <mergeCell ref="A428:F428"/>
    <mergeCell ref="B425:E425"/>
    <mergeCell ref="D382:E382"/>
    <mergeCell ref="A385:F385"/>
    <mergeCell ref="A401:F401"/>
    <mergeCell ref="B408:E408"/>
    <mergeCell ref="A411:F411"/>
    <mergeCell ref="B292:E292"/>
    <mergeCell ref="B303:E303"/>
    <mergeCell ref="B316:E316"/>
    <mergeCell ref="A319:F319"/>
    <mergeCell ref="A332:F332"/>
    <mergeCell ref="B342:E342"/>
    <mergeCell ref="B329:E329"/>
    <mergeCell ref="B197:E197"/>
    <mergeCell ref="D202:E202"/>
    <mergeCell ref="D200:E200"/>
    <mergeCell ref="D201:E201"/>
    <mergeCell ref="D216:E216"/>
    <mergeCell ref="D215:E215"/>
    <mergeCell ref="D217:E217"/>
    <mergeCell ref="B213:E213"/>
    <mergeCell ref="A190:F190"/>
    <mergeCell ref="A232:F232"/>
    <mergeCell ref="B229:E229"/>
    <mergeCell ref="A246:F246"/>
    <mergeCell ref="B255:E255"/>
    <mergeCell ref="D203:E203"/>
    <mergeCell ref="A258:F258"/>
    <mergeCell ref="A206:F206"/>
    <mergeCell ref="D396:E396"/>
    <mergeCell ref="D397:E397"/>
    <mergeCell ref="D199:E199"/>
    <mergeCell ref="B198:E198"/>
    <mergeCell ref="B242:E242"/>
    <mergeCell ref="D243:E243"/>
    <mergeCell ref="D151:E151"/>
    <mergeCell ref="D152:E152"/>
    <mergeCell ref="D153:E153"/>
    <mergeCell ref="D154:E154"/>
    <mergeCell ref="D187:E187"/>
    <mergeCell ref="B267:E267"/>
    <mergeCell ref="A270:F270"/>
    <mergeCell ref="B281:E281"/>
    <mergeCell ref="A306:F306"/>
    <mergeCell ref="A284:F284"/>
    <mergeCell ref="A295:F295"/>
    <mergeCell ref="A481:F481"/>
    <mergeCell ref="A469:F469"/>
    <mergeCell ref="D394:E394"/>
    <mergeCell ref="D395:E395"/>
    <mergeCell ref="D347:E347"/>
    <mergeCell ref="D348:E348"/>
    <mergeCell ref="D378:E378"/>
    <mergeCell ref="D379:E379"/>
    <mergeCell ref="D380:E380"/>
    <mergeCell ref="B392:E392"/>
    <mergeCell ref="B393:E393"/>
    <mergeCell ref="B358:E358"/>
    <mergeCell ref="D150:E150"/>
    <mergeCell ref="B147:E147"/>
    <mergeCell ref="A138:F138"/>
    <mergeCell ref="C148:E148"/>
    <mergeCell ref="B149:E149"/>
    <mergeCell ref="A222:F222"/>
    <mergeCell ref="B214:E214"/>
    <mergeCell ref="D218:E218"/>
    <mergeCell ref="D219:E219"/>
  </mergeCells>
  <hyperlinks>
    <hyperlink r:id="rId1" ref="F363"/>
  </hyperlinks>
  <printOptions horizontalCentered="1"/>
  <pageMargins bottom="0.7480314960629921" footer="0.0" header="0.0" left="0.7086614173228347" right="0.7086614173228347" top="0.7480314960629921"/>
  <pageSetup paperSize="9" scale="60" orientation="portrait"/>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71"/>
    <col customWidth="1" min="2" max="2" width="57.86"/>
    <col customWidth="1" min="3" max="3" width="10.0"/>
    <col customWidth="1" min="4" max="4" width="9.29"/>
    <col customWidth="1" min="5" max="5" width="11.14"/>
    <col customWidth="1" min="6" max="6" width="23.43"/>
    <col customWidth="1" min="7" max="8" width="8.71"/>
    <col customWidth="1" min="9" max="9" width="29.43"/>
    <col customWidth="1" min="10" max="14" width="8.71"/>
  </cols>
  <sheetData>
    <row r="1" ht="14.25" customHeight="1"/>
    <row r="2" ht="14.25" customHeight="1"/>
    <row r="3" ht="14.25" customHeight="1">
      <c r="B3" s="82"/>
    </row>
    <row r="4" ht="14.25" customHeight="1">
      <c r="B4" s="82"/>
    </row>
    <row r="5" ht="14.25" customHeight="1">
      <c r="B5" s="572"/>
    </row>
    <row r="6" ht="14.25" customHeight="1"/>
    <row r="7" ht="3.0" customHeight="1"/>
    <row r="8" ht="14.25" customHeight="1">
      <c r="A8" s="576" t="s">
        <v>0</v>
      </c>
      <c r="B8" s="569" t="str">
        <f>'PLANILHA SEM DESON'!B7:C7</f>
        <v>SEMA-PRO-2022/00145</v>
      </c>
      <c r="C8" s="569"/>
      <c r="D8" s="569"/>
      <c r="E8" s="579" t="s">
        <v>916</v>
      </c>
      <c r="F8" s="886" t="str">
        <f>'PLANILHA SEM DESON'!I10</f>
        <v>11/30/2022</v>
      </c>
    </row>
    <row r="9" ht="14.25" customHeight="1">
      <c r="A9" s="581" t="s">
        <v>21</v>
      </c>
      <c r="B9" t="str">
        <f>'PLANILHA SEM DESON'!B8:C8</f>
        <v>CONSTRUÇÃO DE DIRETORIA DE UNIDADE DESCONCENTRADA DA SEMA - DUDS</v>
      </c>
      <c r="F9" s="159"/>
    </row>
    <row r="10" ht="14.25" customHeight="1">
      <c r="A10" s="581" t="s">
        <v>23</v>
      </c>
      <c r="B10" t="str">
        <f>'PLANILHA SEM DESON'!B9:C9</f>
        <v>Rua Erichin, esquina com Rua Circular - Bairro Residencial Arco Íris</v>
      </c>
      <c r="F10" s="159"/>
    </row>
    <row r="11" ht="14.25" customHeight="1">
      <c r="A11" s="581" t="s">
        <v>26</v>
      </c>
      <c r="B11" t="str">
        <f>'PLANILHA SEM DESON'!B10:C10</f>
        <v>CONFRESA - MT</v>
      </c>
      <c r="F11" s="159"/>
    </row>
    <row r="12" ht="14.25" customHeight="1">
      <c r="A12" s="583" t="s">
        <v>29</v>
      </c>
      <c r="B12" s="574" t="str">
        <f>'PLANILHA SEM DESON'!B11</f>
        <v>CONSTRUÇÃO </v>
      </c>
      <c r="C12" s="574"/>
      <c r="D12" s="574"/>
      <c r="E12" s="574"/>
      <c r="F12" s="575"/>
    </row>
    <row r="13" ht="6.0" customHeight="1"/>
    <row r="14" ht="14.25" customHeight="1">
      <c r="A14" s="887" t="s">
        <v>1164</v>
      </c>
      <c r="B14" s="28"/>
      <c r="C14" s="28"/>
      <c r="D14" s="28"/>
      <c r="E14" s="28"/>
      <c r="F14" s="29"/>
    </row>
    <row r="15" ht="14.25" customHeight="1">
      <c r="A15" s="888" t="s">
        <v>481</v>
      </c>
      <c r="B15" s="889" t="s">
        <v>482</v>
      </c>
      <c r="C15" s="775" t="s">
        <v>46</v>
      </c>
      <c r="D15" s="890"/>
      <c r="E15" s="890"/>
      <c r="F15" s="891"/>
      <c r="H15" s="552"/>
      <c r="I15" s="892" t="s">
        <v>1165</v>
      </c>
    </row>
    <row r="16" ht="14.25" customHeight="1">
      <c r="A16" s="893" t="s">
        <v>1166</v>
      </c>
      <c r="B16" s="107"/>
      <c r="C16" s="107"/>
      <c r="D16" s="107"/>
      <c r="E16" s="107"/>
      <c r="F16" s="781"/>
      <c r="G16" s="894"/>
      <c r="H16" s="894" t="s">
        <v>1167</v>
      </c>
    </row>
    <row r="17" ht="14.25" customHeight="1">
      <c r="A17" s="895"/>
      <c r="B17" s="896" t="s">
        <v>1168</v>
      </c>
      <c r="C17" s="643" t="s">
        <v>919</v>
      </c>
      <c r="D17" s="644" t="s">
        <v>920</v>
      </c>
      <c r="E17" s="897" t="s">
        <v>1169</v>
      </c>
      <c r="F17" s="729" t="s">
        <v>922</v>
      </c>
    </row>
    <row r="18" ht="14.25" customHeight="1">
      <c r="A18" s="691">
        <v>88264.0</v>
      </c>
      <c r="B18" s="600" t="s">
        <v>944</v>
      </c>
      <c r="C18" s="601" t="s">
        <v>924</v>
      </c>
      <c r="D18" s="693">
        <v>0.15</v>
      </c>
      <c r="E18" s="636">
        <v>25.54</v>
      </c>
      <c r="F18" s="898" t="str">
        <f t="shared" ref="F18:F19" si="1">TRUNC(D18*E18,2)</f>
        <v>3.83</v>
      </c>
    </row>
    <row r="19" ht="14.25" customHeight="1">
      <c r="A19" s="599">
        <v>88247.0</v>
      </c>
      <c r="B19" s="600" t="s">
        <v>1170</v>
      </c>
      <c r="C19" s="601" t="s">
        <v>924</v>
      </c>
      <c r="D19" s="693">
        <v>0.15</v>
      </c>
      <c r="E19" s="826">
        <v>21.0</v>
      </c>
      <c r="F19" s="898" t="str">
        <f t="shared" si="1"/>
        <v>3.15</v>
      </c>
    </row>
    <row r="20" ht="14.25" customHeight="1">
      <c r="A20" s="899"/>
      <c r="B20" s="900"/>
      <c r="C20" s="901"/>
      <c r="D20" s="902"/>
      <c r="E20" s="860" t="s">
        <v>927</v>
      </c>
      <c r="F20" s="903" t="str">
        <f>SUM(F18:F19)</f>
        <v>6.98</v>
      </c>
    </row>
    <row r="21" ht="14.25" customHeight="1">
      <c r="A21" s="663"/>
      <c r="B21" s="690" t="s">
        <v>936</v>
      </c>
      <c r="C21" s="595" t="s">
        <v>919</v>
      </c>
      <c r="D21" s="596" t="s">
        <v>920</v>
      </c>
      <c r="E21" s="597" t="s">
        <v>921</v>
      </c>
      <c r="F21" s="598" t="s">
        <v>922</v>
      </c>
    </row>
    <row r="22" ht="14.25" customHeight="1">
      <c r="A22" s="599">
        <v>39601.0</v>
      </c>
      <c r="B22" s="635" t="s">
        <v>1171</v>
      </c>
      <c r="C22" s="601" t="s">
        <v>46</v>
      </c>
      <c r="D22" s="904">
        <v>1.0</v>
      </c>
      <c r="E22" s="826">
        <v>28.25</v>
      </c>
      <c r="F22" s="898" t="str">
        <f>TRUNC(D22*E22,2)</f>
        <v>28.25</v>
      </c>
    </row>
    <row r="23" ht="14.25" customHeight="1">
      <c r="A23" s="905"/>
      <c r="B23" s="906"/>
      <c r="C23" s="907"/>
      <c r="D23" s="908"/>
      <c r="E23" s="860" t="s">
        <v>927</v>
      </c>
      <c r="F23" s="782" t="str">
        <f>SUM(F22)</f>
        <v>28.25</v>
      </c>
    </row>
    <row r="24" ht="14.25" customHeight="1">
      <c r="A24" s="616"/>
      <c r="B24" s="808" t="s">
        <v>928</v>
      </c>
      <c r="C24" s="28"/>
      <c r="D24" s="28"/>
      <c r="E24" s="618"/>
      <c r="F24" s="619" t="str">
        <f>F20+F23</f>
        <v>35.23</v>
      </c>
    </row>
    <row r="25" ht="14.25" customHeight="1"/>
    <row r="26" ht="14.25" customHeight="1">
      <c r="A26" s="888" t="s">
        <v>492</v>
      </c>
      <c r="B26" s="889" t="s">
        <v>1172</v>
      </c>
      <c r="C26" s="775" t="s">
        <v>46</v>
      </c>
      <c r="D26" s="890"/>
      <c r="E26" s="890"/>
      <c r="F26" s="891"/>
      <c r="H26" s="552"/>
    </row>
    <row r="27" ht="14.25" customHeight="1">
      <c r="A27" s="893" t="s">
        <v>1173</v>
      </c>
      <c r="B27" s="107"/>
      <c r="C27" s="107"/>
      <c r="D27" s="107"/>
      <c r="E27" s="107"/>
      <c r="F27" s="781"/>
      <c r="G27" s="894"/>
      <c r="H27" s="909" t="s">
        <v>1167</v>
      </c>
    </row>
    <row r="28" ht="14.25" customHeight="1">
      <c r="A28" s="895"/>
      <c r="B28" s="896" t="s">
        <v>1168</v>
      </c>
      <c r="C28" s="643" t="s">
        <v>919</v>
      </c>
      <c r="D28" s="644" t="s">
        <v>920</v>
      </c>
      <c r="E28" s="897" t="s">
        <v>1169</v>
      </c>
      <c r="F28" s="729" t="s">
        <v>922</v>
      </c>
    </row>
    <row r="29" ht="14.25" customHeight="1">
      <c r="A29" s="691">
        <v>88264.0</v>
      </c>
      <c r="B29" s="600" t="s">
        <v>944</v>
      </c>
      <c r="C29" s="601" t="s">
        <v>924</v>
      </c>
      <c r="D29" s="693">
        <v>0.2</v>
      </c>
      <c r="E29" s="636">
        <v>25.54</v>
      </c>
      <c r="F29" s="898" t="str">
        <f t="shared" ref="F29:F30" si="2">TRUNC(D29*E29,2)</f>
        <v>5.10</v>
      </c>
    </row>
    <row r="30" ht="26.25" customHeight="1">
      <c r="A30" s="599">
        <v>88247.0</v>
      </c>
      <c r="B30" s="600" t="s">
        <v>1170</v>
      </c>
      <c r="C30" s="601" t="s">
        <v>924</v>
      </c>
      <c r="D30" s="693">
        <v>0.2</v>
      </c>
      <c r="E30" s="826">
        <v>21.0</v>
      </c>
      <c r="F30" s="898" t="str">
        <f t="shared" si="2"/>
        <v>4.20</v>
      </c>
    </row>
    <row r="31" ht="14.25" customHeight="1">
      <c r="A31" s="899"/>
      <c r="B31" s="900"/>
      <c r="C31" s="901"/>
      <c r="D31" s="902"/>
      <c r="E31" s="860" t="s">
        <v>927</v>
      </c>
      <c r="F31" s="910" t="str">
        <f>SUM(F29:F30)</f>
        <v>9.30</v>
      </c>
    </row>
    <row r="32" ht="14.25" customHeight="1">
      <c r="A32" s="663"/>
      <c r="B32" s="690" t="s">
        <v>936</v>
      </c>
      <c r="C32" s="595" t="s">
        <v>919</v>
      </c>
      <c r="D32" s="596" t="s">
        <v>920</v>
      </c>
      <c r="E32" s="597" t="s">
        <v>921</v>
      </c>
      <c r="F32" s="598" t="s">
        <v>922</v>
      </c>
    </row>
    <row r="33" ht="14.25" customHeight="1">
      <c r="A33" s="599" t="s">
        <v>966</v>
      </c>
      <c r="B33" s="604" t="s">
        <v>1174</v>
      </c>
      <c r="C33" s="601" t="s">
        <v>46</v>
      </c>
      <c r="D33" s="904">
        <v>1.0</v>
      </c>
      <c r="E33" s="826" t="str">
        <f>C41</f>
        <v>39.91</v>
      </c>
      <c r="F33" s="898" t="str">
        <f>TRUNC(D33*E33,2)</f>
        <v>39.91</v>
      </c>
    </row>
    <row r="34" ht="14.25" customHeight="1">
      <c r="A34" s="905"/>
      <c r="B34" s="906"/>
      <c r="C34" s="907"/>
      <c r="D34" s="908"/>
      <c r="E34" s="860" t="s">
        <v>927</v>
      </c>
      <c r="F34" s="689" t="str">
        <f>SUM(F33)</f>
        <v>39.91</v>
      </c>
    </row>
    <row r="35" ht="14.25" customHeight="1">
      <c r="A35" s="616"/>
      <c r="B35" s="808" t="s">
        <v>928</v>
      </c>
      <c r="C35" s="28"/>
      <c r="D35" s="28"/>
      <c r="E35" s="618"/>
      <c r="F35" s="619" t="str">
        <f>F31+F34</f>
        <v>49.21</v>
      </c>
    </row>
    <row r="36" ht="14.25" customHeight="1">
      <c r="A36" s="730"/>
      <c r="B36" s="911" t="s">
        <v>971</v>
      </c>
      <c r="C36" s="107"/>
      <c r="D36" s="107"/>
      <c r="E36" s="555"/>
      <c r="F36" s="734"/>
    </row>
    <row r="37" ht="14.25" customHeight="1">
      <c r="A37" s="735" t="s">
        <v>972</v>
      </c>
      <c r="B37" s="597" t="s">
        <v>973</v>
      </c>
      <c r="C37" s="736" t="s">
        <v>974</v>
      </c>
      <c r="D37" s="737" t="s">
        <v>975</v>
      </c>
      <c r="E37" s="41"/>
      <c r="F37" s="738" t="s">
        <v>976</v>
      </c>
    </row>
    <row r="38" ht="14.25" customHeight="1">
      <c r="A38" s="740">
        <v>44869.0</v>
      </c>
      <c r="B38" s="600" t="s">
        <v>1175</v>
      </c>
      <c r="C38" s="605">
        <v>21.52</v>
      </c>
      <c r="D38" s="347" t="s">
        <v>1176</v>
      </c>
      <c r="E38" s="41"/>
      <c r="F38" s="844" t="s">
        <v>1177</v>
      </c>
    </row>
    <row r="39" ht="14.25" customHeight="1">
      <c r="A39" s="740">
        <v>44886.0</v>
      </c>
      <c r="B39" s="600" t="s">
        <v>1178</v>
      </c>
      <c r="C39" s="605">
        <v>39.91</v>
      </c>
      <c r="D39" s="347" t="s">
        <v>1179</v>
      </c>
      <c r="E39" s="41"/>
      <c r="F39" s="844" t="s">
        <v>1180</v>
      </c>
      <c r="I39" s="204" t="s">
        <v>1181</v>
      </c>
    </row>
    <row r="40" ht="14.25" customHeight="1">
      <c r="A40" s="740">
        <v>44887.0</v>
      </c>
      <c r="B40" s="600" t="s">
        <v>1182</v>
      </c>
      <c r="C40" s="605">
        <v>67.38</v>
      </c>
      <c r="D40" s="347" t="s">
        <v>1183</v>
      </c>
      <c r="E40" s="41"/>
      <c r="F40" s="844" t="s">
        <v>1184</v>
      </c>
      <c r="I40" s="204" t="s">
        <v>1185</v>
      </c>
    </row>
    <row r="41" ht="14.25" customHeight="1">
      <c r="A41" s="720"/>
      <c r="B41" s="721" t="s">
        <v>986</v>
      </c>
      <c r="C41" s="912" t="str">
        <f>MEDIAN(C38:C40)</f>
        <v>39.91</v>
      </c>
      <c r="D41" s="723"/>
      <c r="E41" s="712"/>
      <c r="F41" s="724"/>
    </row>
    <row r="42" ht="14.25" customHeight="1"/>
    <row r="43" ht="14.25" customHeight="1">
      <c r="A43" s="888" t="s">
        <v>489</v>
      </c>
      <c r="B43" s="889" t="s">
        <v>490</v>
      </c>
      <c r="C43" s="775" t="s">
        <v>46</v>
      </c>
      <c r="D43" s="890"/>
      <c r="E43" s="890"/>
      <c r="F43" s="891"/>
      <c r="H43" s="552"/>
    </row>
    <row r="44" ht="14.25" customHeight="1">
      <c r="A44" s="893" t="s">
        <v>1186</v>
      </c>
      <c r="B44" s="107"/>
      <c r="C44" s="107"/>
      <c r="D44" s="107"/>
      <c r="E44" s="107"/>
      <c r="F44" s="781"/>
      <c r="G44" s="894"/>
      <c r="H44" s="909" t="s">
        <v>1167</v>
      </c>
      <c r="I44" s="789"/>
    </row>
    <row r="45" ht="14.25" customHeight="1">
      <c r="A45" s="895"/>
      <c r="B45" s="896" t="s">
        <v>1168</v>
      </c>
      <c r="C45" s="643" t="s">
        <v>919</v>
      </c>
      <c r="D45" s="644" t="s">
        <v>920</v>
      </c>
      <c r="E45" s="897" t="s">
        <v>1169</v>
      </c>
      <c r="F45" s="729" t="s">
        <v>922</v>
      </c>
    </row>
    <row r="46" ht="14.25" customHeight="1">
      <c r="A46" s="691">
        <v>88264.0</v>
      </c>
      <c r="B46" s="600" t="s">
        <v>944</v>
      </c>
      <c r="C46" s="601" t="s">
        <v>924</v>
      </c>
      <c r="D46" s="913">
        <v>0.2</v>
      </c>
      <c r="E46" s="636">
        <v>25.54</v>
      </c>
      <c r="F46" s="914" t="str">
        <f>TRUNC(D46*E46,2)</f>
        <v>5.10</v>
      </c>
    </row>
    <row r="47" ht="14.25" customHeight="1">
      <c r="A47" s="899"/>
      <c r="B47" s="900"/>
      <c r="C47" s="901"/>
      <c r="D47" s="902"/>
      <c r="E47" s="860" t="s">
        <v>927</v>
      </c>
      <c r="F47" s="903" t="str">
        <f>SUM(F46)</f>
        <v>5.10</v>
      </c>
    </row>
    <row r="48" ht="14.25" customHeight="1">
      <c r="A48" s="663"/>
      <c r="B48" s="690" t="s">
        <v>936</v>
      </c>
      <c r="C48" s="595" t="s">
        <v>919</v>
      </c>
      <c r="D48" s="596" t="s">
        <v>920</v>
      </c>
      <c r="E48" s="597" t="s">
        <v>921</v>
      </c>
      <c r="F48" s="598" t="s">
        <v>922</v>
      </c>
    </row>
    <row r="49" ht="14.25" customHeight="1">
      <c r="A49" s="599" t="s">
        <v>966</v>
      </c>
      <c r="B49" s="635" t="s">
        <v>1187</v>
      </c>
      <c r="C49" s="601" t="s">
        <v>46</v>
      </c>
      <c r="D49" s="915">
        <v>1.0</v>
      </c>
      <c r="E49" s="916" t="str">
        <f>C57</f>
        <v>158.51</v>
      </c>
      <c r="F49" s="914" t="str">
        <f>TRUNC(D49*E49,2)</f>
        <v>158.51</v>
      </c>
    </row>
    <row r="50" ht="15.0" customHeight="1">
      <c r="A50" s="905"/>
      <c r="B50" s="906"/>
      <c r="C50" s="907"/>
      <c r="D50" s="908"/>
      <c r="E50" s="860" t="s">
        <v>927</v>
      </c>
      <c r="F50" s="782" t="str">
        <f>SUM(F49)</f>
        <v>158.51</v>
      </c>
    </row>
    <row r="51" ht="14.25" customHeight="1">
      <c r="A51" s="616"/>
      <c r="B51" s="808" t="s">
        <v>928</v>
      </c>
      <c r="C51" s="28"/>
      <c r="D51" s="28"/>
      <c r="E51" s="618"/>
      <c r="F51" s="619" t="str">
        <f>F47+F50</f>
        <v>163.61</v>
      </c>
    </row>
    <row r="52" ht="14.25" customHeight="1">
      <c r="A52" s="730"/>
      <c r="B52" s="911" t="s">
        <v>971</v>
      </c>
      <c r="C52" s="107"/>
      <c r="D52" s="107"/>
      <c r="E52" s="555"/>
      <c r="F52" s="734"/>
    </row>
    <row r="53" ht="14.25" customHeight="1">
      <c r="A53" s="735" t="s">
        <v>972</v>
      </c>
      <c r="B53" s="597" t="s">
        <v>973</v>
      </c>
      <c r="C53" s="736" t="s">
        <v>974</v>
      </c>
      <c r="D53" s="737" t="s">
        <v>975</v>
      </c>
      <c r="E53" s="41"/>
      <c r="F53" s="738" t="s">
        <v>976</v>
      </c>
      <c r="I53" s="92"/>
    </row>
    <row r="54" ht="14.25" customHeight="1">
      <c r="A54" s="740">
        <v>44861.0</v>
      </c>
      <c r="B54" s="600" t="s">
        <v>1188</v>
      </c>
      <c r="C54" s="605" t="str">
        <f>135.85+22.66</f>
        <v>158.51</v>
      </c>
      <c r="D54" s="347" t="s">
        <v>1189</v>
      </c>
      <c r="E54" s="41"/>
      <c r="F54" s="917" t="s">
        <v>1190</v>
      </c>
      <c r="I54" t="s">
        <v>1191</v>
      </c>
    </row>
    <row r="55" ht="14.25" customHeight="1">
      <c r="A55" s="740">
        <v>44869.0</v>
      </c>
      <c r="B55" s="600" t="s">
        <v>1175</v>
      </c>
      <c r="C55" s="605">
        <v>170.03</v>
      </c>
      <c r="D55" s="347" t="s">
        <v>1176</v>
      </c>
      <c r="E55" s="41"/>
      <c r="F55" s="844" t="s">
        <v>1177</v>
      </c>
    </row>
    <row r="56" ht="14.25" customHeight="1">
      <c r="A56" s="740">
        <v>44869.0</v>
      </c>
      <c r="B56" s="600" t="s">
        <v>1192</v>
      </c>
      <c r="C56" s="605" t="str">
        <f>49.9+20.77</f>
        <v>70.67</v>
      </c>
      <c r="D56" s="347" t="s">
        <v>1193</v>
      </c>
      <c r="E56" s="41"/>
      <c r="F56" s="918" t="s">
        <v>1194</v>
      </c>
      <c r="I56" t="s">
        <v>1195</v>
      </c>
    </row>
    <row r="57" ht="14.25" customHeight="1">
      <c r="A57" s="720"/>
      <c r="B57" s="721" t="s">
        <v>986</v>
      </c>
      <c r="C57" s="722" t="str">
        <f>MEDIAN(C54:C56)</f>
        <v>158.51</v>
      </c>
      <c r="D57" s="723"/>
      <c r="E57" s="712"/>
      <c r="F57" s="724"/>
    </row>
    <row r="58" ht="14.25" customHeight="1"/>
    <row r="59" ht="14.25" customHeight="1">
      <c r="A59" s="888" t="s">
        <v>486</v>
      </c>
      <c r="B59" s="889" t="s">
        <v>487</v>
      </c>
      <c r="C59" s="775" t="s">
        <v>46</v>
      </c>
      <c r="D59" s="890"/>
      <c r="E59" s="890"/>
      <c r="F59" s="891"/>
    </row>
    <row r="60" ht="15.0" customHeight="1">
      <c r="A60" s="893" t="s">
        <v>1186</v>
      </c>
      <c r="B60" s="107"/>
      <c r="C60" s="107"/>
      <c r="D60" s="107"/>
      <c r="E60" s="107"/>
      <c r="F60" s="781"/>
      <c r="H60" s="909" t="s">
        <v>1167</v>
      </c>
    </row>
    <row r="61" ht="32.25" customHeight="1">
      <c r="A61" s="895"/>
      <c r="B61" s="896" t="s">
        <v>1168</v>
      </c>
      <c r="C61" s="643" t="s">
        <v>919</v>
      </c>
      <c r="D61" s="644" t="s">
        <v>920</v>
      </c>
      <c r="E61" s="897" t="s">
        <v>1169</v>
      </c>
      <c r="F61" s="729" t="s">
        <v>922</v>
      </c>
      <c r="I61" s="919"/>
      <c r="J61" s="919"/>
      <c r="K61" s="919"/>
    </row>
    <row r="62" ht="14.25" customHeight="1">
      <c r="A62" s="691">
        <v>88264.0</v>
      </c>
      <c r="B62" s="600" t="s">
        <v>944</v>
      </c>
      <c r="C62" s="601" t="s">
        <v>924</v>
      </c>
      <c r="D62" s="693">
        <v>0.2</v>
      </c>
      <c r="E62" s="636">
        <v>25.54</v>
      </c>
      <c r="F62" s="898" t="str">
        <f>TRUNC(D62*E62,2)</f>
        <v>5.10</v>
      </c>
    </row>
    <row r="63" ht="14.25" customHeight="1">
      <c r="A63" s="899"/>
      <c r="B63" s="900"/>
      <c r="C63" s="901"/>
      <c r="D63" s="902"/>
      <c r="E63" s="860" t="s">
        <v>927</v>
      </c>
      <c r="F63" s="910" t="str">
        <f>SUM(F62)</f>
        <v>5.10</v>
      </c>
    </row>
    <row r="64" ht="14.25" customHeight="1">
      <c r="A64" s="663"/>
      <c r="B64" s="690" t="s">
        <v>936</v>
      </c>
      <c r="C64" s="595" t="s">
        <v>919</v>
      </c>
      <c r="D64" s="596" t="s">
        <v>920</v>
      </c>
      <c r="E64" s="597" t="s">
        <v>921</v>
      </c>
      <c r="F64" s="598" t="s">
        <v>922</v>
      </c>
    </row>
    <row r="65" ht="14.25" customHeight="1">
      <c r="A65" s="599" t="s">
        <v>966</v>
      </c>
      <c r="B65" s="600" t="s">
        <v>487</v>
      </c>
      <c r="C65" s="601" t="s">
        <v>46</v>
      </c>
      <c r="D65" s="915">
        <v>1.0</v>
      </c>
      <c r="E65" s="826" t="str">
        <f>C73</f>
        <v>52.83</v>
      </c>
      <c r="F65" s="898" t="str">
        <f>TRUNC(D65*E65,2)</f>
        <v>52.83</v>
      </c>
    </row>
    <row r="66" ht="14.25" customHeight="1">
      <c r="A66" s="905"/>
      <c r="B66" s="906"/>
      <c r="C66" s="907"/>
      <c r="D66" s="908"/>
      <c r="E66" s="860" t="s">
        <v>927</v>
      </c>
      <c r="F66" s="689" t="str">
        <f>SUM(F65)</f>
        <v>52.83</v>
      </c>
    </row>
    <row r="67" ht="14.25" customHeight="1">
      <c r="A67" s="616"/>
      <c r="B67" s="808" t="s">
        <v>928</v>
      </c>
      <c r="C67" s="28"/>
      <c r="D67" s="28"/>
      <c r="E67" s="618"/>
      <c r="F67" s="869" t="str">
        <f>F63+F66</f>
        <v>57.93</v>
      </c>
    </row>
    <row r="68" ht="14.25" customHeight="1">
      <c r="A68" s="730"/>
      <c r="B68" s="911" t="s">
        <v>971</v>
      </c>
      <c r="C68" s="107"/>
      <c r="D68" s="107"/>
      <c r="E68" s="555"/>
      <c r="F68" s="734"/>
    </row>
    <row r="69" ht="14.25" customHeight="1">
      <c r="A69" s="735" t="s">
        <v>972</v>
      </c>
      <c r="B69" s="597" t="s">
        <v>973</v>
      </c>
      <c r="C69" s="736" t="s">
        <v>974</v>
      </c>
      <c r="D69" s="737" t="s">
        <v>975</v>
      </c>
      <c r="E69" s="41"/>
      <c r="F69" s="738" t="s">
        <v>976</v>
      </c>
    </row>
    <row r="70" ht="14.25" customHeight="1">
      <c r="A70" s="740">
        <v>44859.0</v>
      </c>
      <c r="B70" s="600" t="s">
        <v>1196</v>
      </c>
      <c r="C70" s="605" t="str">
        <f>28.41+24.42</f>
        <v>52.83</v>
      </c>
      <c r="D70" s="347" t="s">
        <v>1197</v>
      </c>
      <c r="E70" s="41"/>
      <c r="F70" s="741" t="s">
        <v>1198</v>
      </c>
      <c r="I70" t="s">
        <v>1199</v>
      </c>
    </row>
    <row r="71" ht="14.25" customHeight="1">
      <c r="A71" s="740">
        <v>44881.0</v>
      </c>
      <c r="B71" s="600" t="s">
        <v>1200</v>
      </c>
      <c r="C71" s="605">
        <v>46.38</v>
      </c>
      <c r="D71" s="347" t="s">
        <v>1197</v>
      </c>
      <c r="E71" s="41"/>
      <c r="F71" s="920" t="s">
        <v>1201</v>
      </c>
      <c r="I71" s="204" t="s">
        <v>1202</v>
      </c>
    </row>
    <row r="72" ht="14.25" customHeight="1">
      <c r="A72" s="740">
        <v>44886.0</v>
      </c>
      <c r="B72" s="600" t="s">
        <v>1203</v>
      </c>
      <c r="C72" s="605">
        <v>68.71</v>
      </c>
      <c r="D72" s="347" t="s">
        <v>1204</v>
      </c>
      <c r="E72" s="41"/>
      <c r="F72" s="920" t="s">
        <v>1205</v>
      </c>
      <c r="I72" s="204" t="s">
        <v>1206</v>
      </c>
    </row>
    <row r="73" ht="14.25" customHeight="1">
      <c r="A73" s="720"/>
      <c r="B73" s="721" t="s">
        <v>986</v>
      </c>
      <c r="C73" s="912" t="str">
        <f>MEDIAN(C70:C72)</f>
        <v>52.83</v>
      </c>
      <c r="D73" s="723"/>
      <c r="E73" s="712"/>
      <c r="F73" s="724"/>
    </row>
    <row r="74" ht="14.25" customHeight="1"/>
    <row r="75" ht="14.25" customHeight="1">
      <c r="A75" s="888" t="s">
        <v>495</v>
      </c>
      <c r="B75" s="889" t="s">
        <v>496</v>
      </c>
      <c r="C75" s="775" t="s">
        <v>46</v>
      </c>
      <c r="D75" s="890"/>
      <c r="E75" s="890"/>
      <c r="F75" s="891"/>
    </row>
    <row r="76" ht="14.25" customHeight="1">
      <c r="A76" s="893" t="s">
        <v>1207</v>
      </c>
      <c r="B76" s="107"/>
      <c r="C76" s="107"/>
      <c r="D76" s="107"/>
      <c r="E76" s="107"/>
      <c r="F76" s="781"/>
      <c r="H76" s="909" t="s">
        <v>1167</v>
      </c>
      <c r="I76" s="789"/>
    </row>
    <row r="77" ht="14.25" customHeight="1">
      <c r="A77" s="895"/>
      <c r="B77" s="896" t="s">
        <v>1168</v>
      </c>
      <c r="C77" s="643" t="s">
        <v>919</v>
      </c>
      <c r="D77" s="644" t="s">
        <v>920</v>
      </c>
      <c r="E77" s="897" t="s">
        <v>1169</v>
      </c>
      <c r="F77" s="729" t="s">
        <v>922</v>
      </c>
      <c r="I77" s="95"/>
      <c r="J77" s="95"/>
    </row>
    <row r="78" ht="14.25" customHeight="1">
      <c r="A78" s="691">
        <v>88264.0</v>
      </c>
      <c r="B78" s="600" t="s">
        <v>944</v>
      </c>
      <c r="C78" s="601" t="s">
        <v>924</v>
      </c>
      <c r="D78" s="693">
        <v>1.0</v>
      </c>
      <c r="E78" s="636">
        <v>25.54</v>
      </c>
      <c r="F78" s="898" t="str">
        <f t="shared" ref="F78:F79" si="3">TRUNC(D78*E78,2)</f>
        <v>25.54</v>
      </c>
    </row>
    <row r="79" ht="14.25" customHeight="1">
      <c r="A79" s="599">
        <v>88247.0</v>
      </c>
      <c r="B79" s="600" t="s">
        <v>1170</v>
      </c>
      <c r="C79" s="601" t="s">
        <v>924</v>
      </c>
      <c r="D79" s="693">
        <v>1.0</v>
      </c>
      <c r="E79" s="826">
        <v>21.0</v>
      </c>
      <c r="F79" s="898" t="str">
        <f t="shared" si="3"/>
        <v>21.00</v>
      </c>
    </row>
    <row r="80" ht="14.25" customHeight="1">
      <c r="A80" s="899"/>
      <c r="B80" s="900"/>
      <c r="C80" s="901"/>
      <c r="D80" s="902"/>
      <c r="E80" s="860" t="s">
        <v>927</v>
      </c>
      <c r="F80" s="903" t="str">
        <f>SUM(F78:F79)</f>
        <v>46.54</v>
      </c>
    </row>
    <row r="81" ht="14.25" customHeight="1">
      <c r="A81" s="606"/>
      <c r="B81" s="690" t="s">
        <v>936</v>
      </c>
      <c r="C81" s="833" t="s">
        <v>919</v>
      </c>
      <c r="D81" s="596" t="s">
        <v>920</v>
      </c>
      <c r="E81" s="597" t="s">
        <v>921</v>
      </c>
      <c r="F81" s="598" t="s">
        <v>922</v>
      </c>
    </row>
    <row r="82" ht="14.25" customHeight="1">
      <c r="A82" s="599" t="s">
        <v>966</v>
      </c>
      <c r="B82" s="398" t="s">
        <v>1208</v>
      </c>
      <c r="C82" s="601" t="s">
        <v>46</v>
      </c>
      <c r="D82" s="904">
        <v>1.0</v>
      </c>
      <c r="E82" s="826" t="str">
        <f>C90</f>
        <v>2,104.31</v>
      </c>
      <c r="F82" s="898" t="str">
        <f>TRUNC(D82*E82,2)</f>
        <v>2,104.31</v>
      </c>
    </row>
    <row r="83" ht="14.25" customHeight="1">
      <c r="A83" s="905"/>
      <c r="B83" s="906"/>
      <c r="C83" s="907"/>
      <c r="D83" s="908"/>
      <c r="E83" s="860" t="s">
        <v>927</v>
      </c>
      <c r="F83" s="689" t="str">
        <f>SUM(F82)</f>
        <v>2,104.31</v>
      </c>
    </row>
    <row r="84" ht="14.25" customHeight="1">
      <c r="A84" s="616"/>
      <c r="B84" s="808" t="s">
        <v>928</v>
      </c>
      <c r="C84" s="28"/>
      <c r="D84" s="28"/>
      <c r="E84" s="618"/>
      <c r="F84" s="869" t="str">
        <f>F80+F83</f>
        <v>2,150.85</v>
      </c>
    </row>
    <row r="85" ht="14.25" customHeight="1">
      <c r="A85" s="730"/>
      <c r="B85" s="911" t="s">
        <v>971</v>
      </c>
      <c r="C85" s="107"/>
      <c r="D85" s="107"/>
      <c r="E85" s="555"/>
      <c r="F85" s="734"/>
    </row>
    <row r="86" ht="14.25" customHeight="1">
      <c r="A86" s="735" t="s">
        <v>972</v>
      </c>
      <c r="B86" s="597" t="s">
        <v>973</v>
      </c>
      <c r="C86" s="736" t="s">
        <v>974</v>
      </c>
      <c r="D86" s="737" t="s">
        <v>975</v>
      </c>
      <c r="E86" s="41"/>
      <c r="F86" s="738" t="s">
        <v>976</v>
      </c>
    </row>
    <row r="87" ht="14.25" customHeight="1">
      <c r="A87" s="740">
        <v>44859.0</v>
      </c>
      <c r="B87" s="600" t="s">
        <v>1196</v>
      </c>
      <c r="C87" s="605" t="str">
        <f>2048.11+56.2</f>
        <v>2104.31</v>
      </c>
      <c r="D87" s="347" t="s">
        <v>1197</v>
      </c>
      <c r="E87" s="41"/>
      <c r="F87" s="741" t="s">
        <v>1198</v>
      </c>
      <c r="I87" t="s">
        <v>1209</v>
      </c>
    </row>
    <row r="88" ht="14.25" customHeight="1">
      <c r="A88" s="740">
        <v>44868.0</v>
      </c>
      <c r="B88" s="600" t="s">
        <v>1210</v>
      </c>
      <c r="C88" s="605">
        <v>1596.3</v>
      </c>
      <c r="D88" s="347" t="s">
        <v>1211</v>
      </c>
      <c r="E88" s="41"/>
      <c r="F88" s="917" t="s">
        <v>1212</v>
      </c>
    </row>
    <row r="89" ht="14.25" customHeight="1">
      <c r="A89" s="740">
        <v>44869.0</v>
      </c>
      <c r="B89" s="600" t="s">
        <v>1175</v>
      </c>
      <c r="C89" s="605">
        <v>2441.98</v>
      </c>
      <c r="D89" s="347" t="s">
        <v>1176</v>
      </c>
      <c r="E89" s="41"/>
      <c r="F89" s="844" t="s">
        <v>1177</v>
      </c>
    </row>
    <row r="90" ht="14.25" customHeight="1">
      <c r="A90" s="720"/>
      <c r="B90" s="721" t="s">
        <v>986</v>
      </c>
      <c r="C90" s="722" t="str">
        <f>MEDIAN(C87:C89)</f>
        <v>2104.31</v>
      </c>
      <c r="D90" s="723"/>
      <c r="E90" s="712"/>
      <c r="F90" s="724"/>
    </row>
    <row r="91" ht="14.25" customHeight="1"/>
    <row r="92" ht="14.25" customHeight="1">
      <c r="A92" s="888" t="s">
        <v>531</v>
      </c>
      <c r="B92" s="889" t="s">
        <v>532</v>
      </c>
      <c r="C92" s="775" t="s">
        <v>46</v>
      </c>
      <c r="D92" s="890"/>
      <c r="E92" s="890"/>
      <c r="F92" s="891"/>
      <c r="H92" s="552"/>
    </row>
    <row r="93" ht="14.25" customHeight="1">
      <c r="A93" s="921" t="s">
        <v>1213</v>
      </c>
      <c r="B93" s="107"/>
      <c r="C93" s="107"/>
      <c r="D93" s="107"/>
      <c r="E93" s="107"/>
      <c r="F93" s="781"/>
      <c r="H93" s="909" t="s">
        <v>1167</v>
      </c>
      <c r="I93" s="789"/>
    </row>
    <row r="94" ht="14.25" customHeight="1">
      <c r="A94" s="895"/>
      <c r="B94" s="896" t="s">
        <v>1168</v>
      </c>
      <c r="C94" s="643" t="s">
        <v>919</v>
      </c>
      <c r="D94" s="644" t="s">
        <v>920</v>
      </c>
      <c r="E94" s="897" t="s">
        <v>1169</v>
      </c>
      <c r="F94" s="729" t="s">
        <v>922</v>
      </c>
    </row>
    <row r="95" ht="14.25" customHeight="1">
      <c r="A95" s="691">
        <v>88264.0</v>
      </c>
      <c r="B95" s="600" t="s">
        <v>944</v>
      </c>
      <c r="C95" s="601" t="s">
        <v>924</v>
      </c>
      <c r="D95" s="913">
        <v>0.08</v>
      </c>
      <c r="E95" s="636">
        <v>25.54</v>
      </c>
      <c r="F95" s="914" t="str">
        <f t="shared" ref="F95:F96" si="4">TRUNC(D95*E95,2)</f>
        <v>2.04</v>
      </c>
    </row>
    <row r="96" ht="14.25" customHeight="1">
      <c r="A96" s="599">
        <v>88247.0</v>
      </c>
      <c r="B96" s="600" t="s">
        <v>1170</v>
      </c>
      <c r="C96" s="601" t="s">
        <v>924</v>
      </c>
      <c r="D96" s="913">
        <v>1.0</v>
      </c>
      <c r="E96" s="826">
        <v>21.0</v>
      </c>
      <c r="F96" s="914" t="str">
        <f t="shared" si="4"/>
        <v>21.00</v>
      </c>
    </row>
    <row r="97" ht="14.25" customHeight="1">
      <c r="A97" s="899"/>
      <c r="B97" s="900"/>
      <c r="C97" s="901"/>
      <c r="D97" s="902"/>
      <c r="E97" s="860" t="s">
        <v>927</v>
      </c>
      <c r="F97" s="903" t="str">
        <f>SUM(F95:F96)</f>
        <v>23.04</v>
      </c>
    </row>
    <row r="98" ht="14.25" customHeight="1">
      <c r="A98" s="606"/>
      <c r="B98" s="690" t="s">
        <v>936</v>
      </c>
      <c r="C98" s="595" t="s">
        <v>919</v>
      </c>
      <c r="D98" s="596" t="s">
        <v>920</v>
      </c>
      <c r="E98" s="597" t="s">
        <v>921</v>
      </c>
      <c r="F98" s="598" t="s">
        <v>922</v>
      </c>
    </row>
    <row r="99" ht="14.25" customHeight="1">
      <c r="A99" s="599" t="s">
        <v>966</v>
      </c>
      <c r="B99" s="600" t="s">
        <v>532</v>
      </c>
      <c r="C99" s="601" t="s">
        <v>46</v>
      </c>
      <c r="D99" s="915">
        <v>1.0</v>
      </c>
      <c r="E99" s="916" t="str">
        <f>C107</f>
        <v>28.34</v>
      </c>
      <c r="F99" s="914" t="str">
        <f>TRUNC(D99*E99,2)</f>
        <v>28.34</v>
      </c>
    </row>
    <row r="100" ht="14.25" customHeight="1">
      <c r="A100" s="905"/>
      <c r="B100" s="906"/>
      <c r="C100" s="907"/>
      <c r="D100" s="908"/>
      <c r="E100" s="860" t="s">
        <v>927</v>
      </c>
      <c r="F100" s="782" t="str">
        <f>SUM(F99)</f>
        <v>28.34</v>
      </c>
    </row>
    <row r="101" ht="14.25" customHeight="1">
      <c r="A101" s="616"/>
      <c r="B101" s="808" t="s">
        <v>928</v>
      </c>
      <c r="C101" s="28"/>
      <c r="D101" s="28"/>
      <c r="E101" s="618"/>
      <c r="F101" s="619" t="str">
        <f>F97+F100</f>
        <v>51.38</v>
      </c>
    </row>
    <row r="102" ht="14.25" customHeight="1">
      <c r="A102" s="730"/>
      <c r="B102" s="911" t="s">
        <v>971</v>
      </c>
      <c r="C102" s="107"/>
      <c r="D102" s="107"/>
      <c r="E102" s="555"/>
      <c r="F102" s="734"/>
    </row>
    <row r="103" ht="14.25" customHeight="1">
      <c r="A103" s="735" t="s">
        <v>972</v>
      </c>
      <c r="B103" s="597" t="s">
        <v>973</v>
      </c>
      <c r="C103" s="736" t="s">
        <v>974</v>
      </c>
      <c r="D103" s="737" t="s">
        <v>975</v>
      </c>
      <c r="E103" s="41"/>
      <c r="F103" s="738" t="s">
        <v>976</v>
      </c>
    </row>
    <row r="104" ht="14.25" customHeight="1">
      <c r="A104" s="740">
        <v>44869.0</v>
      </c>
      <c r="B104" s="600" t="s">
        <v>1175</v>
      </c>
      <c r="C104" s="605">
        <v>18.86</v>
      </c>
      <c r="D104" s="347" t="s">
        <v>1176</v>
      </c>
      <c r="E104" s="41"/>
      <c r="F104" s="920" t="s">
        <v>1177</v>
      </c>
      <c r="I104" s="204"/>
    </row>
    <row r="105" ht="14.25" customHeight="1">
      <c r="A105" s="740">
        <v>44872.0</v>
      </c>
      <c r="B105" s="600" t="s">
        <v>1214</v>
      </c>
      <c r="C105" s="605">
        <v>60.84</v>
      </c>
      <c r="D105" s="347" t="s">
        <v>1176</v>
      </c>
      <c r="E105" s="41"/>
      <c r="F105" s="920" t="s">
        <v>1215</v>
      </c>
      <c r="I105" s="204" t="s">
        <v>1216</v>
      </c>
    </row>
    <row r="106" ht="14.25" customHeight="1">
      <c r="A106" s="740">
        <v>44888.0</v>
      </c>
      <c r="B106" s="600" t="s">
        <v>1217</v>
      </c>
      <c r="C106" s="605">
        <v>28.34</v>
      </c>
      <c r="D106" s="347" t="s">
        <v>1218</v>
      </c>
      <c r="E106" s="41"/>
      <c r="F106" s="920" t="s">
        <v>1219</v>
      </c>
      <c r="I106" s="204" t="s">
        <v>1220</v>
      </c>
    </row>
    <row r="107" ht="14.25" customHeight="1">
      <c r="A107" s="720"/>
      <c r="B107" s="721" t="s">
        <v>986</v>
      </c>
      <c r="C107" s="912" t="str">
        <f>MEDIAN(C104:C106)</f>
        <v>28.34</v>
      </c>
      <c r="D107" s="723"/>
      <c r="E107" s="712"/>
      <c r="F107" s="724"/>
      <c r="I107" s="204"/>
    </row>
    <row r="108" ht="14.25" customHeight="1"/>
    <row r="109" ht="14.25" customHeight="1">
      <c r="A109" s="888" t="s">
        <v>534</v>
      </c>
      <c r="B109" s="889" t="s">
        <v>535</v>
      </c>
      <c r="C109" s="775" t="s">
        <v>46</v>
      </c>
      <c r="D109" s="890"/>
      <c r="E109" s="890"/>
      <c r="F109" s="891"/>
      <c r="H109" s="909"/>
    </row>
    <row r="110" ht="14.25" customHeight="1">
      <c r="A110" s="921" t="s">
        <v>1213</v>
      </c>
      <c r="B110" s="107"/>
      <c r="C110" s="107"/>
      <c r="D110" s="107"/>
      <c r="E110" s="107"/>
      <c r="F110" s="781"/>
      <c r="H110" s="909" t="s">
        <v>1167</v>
      </c>
      <c r="I110" s="789"/>
    </row>
    <row r="111" ht="14.25" customHeight="1">
      <c r="A111" s="895"/>
      <c r="B111" s="896" t="s">
        <v>1168</v>
      </c>
      <c r="C111" s="643" t="s">
        <v>919</v>
      </c>
      <c r="D111" s="644" t="s">
        <v>920</v>
      </c>
      <c r="E111" s="897" t="s">
        <v>1169</v>
      </c>
      <c r="F111" s="729" t="s">
        <v>922</v>
      </c>
    </row>
    <row r="112" ht="14.25" customHeight="1">
      <c r="A112" s="691">
        <v>88264.0</v>
      </c>
      <c r="B112" s="600" t="s">
        <v>944</v>
      </c>
      <c r="C112" s="601" t="s">
        <v>924</v>
      </c>
      <c r="D112" s="913">
        <v>0.08</v>
      </c>
      <c r="E112" s="636">
        <v>25.54</v>
      </c>
      <c r="F112" s="914" t="str">
        <f t="shared" ref="F112:F113" si="5">TRUNC(D112*E112,2)</f>
        <v>2.04</v>
      </c>
    </row>
    <row r="113" ht="14.25" customHeight="1">
      <c r="A113" s="599">
        <v>88247.0</v>
      </c>
      <c r="B113" s="600" t="s">
        <v>1170</v>
      </c>
      <c r="C113" s="601" t="s">
        <v>924</v>
      </c>
      <c r="D113" s="913">
        <v>1.0</v>
      </c>
      <c r="E113" s="636">
        <v>21.0</v>
      </c>
      <c r="F113" s="914" t="str">
        <f t="shared" si="5"/>
        <v>21.00</v>
      </c>
    </row>
    <row r="114" ht="14.25" customHeight="1">
      <c r="A114" s="922"/>
      <c r="B114" s="923"/>
      <c r="C114" s="924"/>
      <c r="D114" s="925"/>
      <c r="E114" s="926" t="s">
        <v>927</v>
      </c>
      <c r="F114" s="927" t="str">
        <f>SUM(F112:F113)</f>
        <v>23.04</v>
      </c>
    </row>
    <row r="115" ht="14.25" customHeight="1">
      <c r="A115" s="606"/>
      <c r="B115" s="690" t="s">
        <v>936</v>
      </c>
      <c r="C115" s="595" t="s">
        <v>919</v>
      </c>
      <c r="D115" s="596" t="s">
        <v>920</v>
      </c>
      <c r="E115" s="597" t="s">
        <v>921</v>
      </c>
      <c r="F115" s="598" t="s">
        <v>922</v>
      </c>
    </row>
    <row r="116" ht="14.25" customHeight="1">
      <c r="A116" s="599" t="s">
        <v>966</v>
      </c>
      <c r="B116" s="635" t="s">
        <v>535</v>
      </c>
      <c r="C116" s="601" t="s">
        <v>46</v>
      </c>
      <c r="D116" s="915">
        <v>1.0</v>
      </c>
      <c r="E116" s="916" t="str">
        <f>C124</f>
        <v>31.88</v>
      </c>
      <c r="F116" s="914" t="str">
        <f>TRUNC(D116*E116,2)</f>
        <v>31.88</v>
      </c>
    </row>
    <row r="117" ht="14.25" customHeight="1">
      <c r="A117" s="905"/>
      <c r="B117" s="906"/>
      <c r="C117" s="907"/>
      <c r="D117" s="908"/>
      <c r="E117" s="860" t="s">
        <v>927</v>
      </c>
      <c r="F117" s="782" t="str">
        <f>SUM(F116)</f>
        <v>31.88</v>
      </c>
    </row>
    <row r="118" ht="14.25" customHeight="1">
      <c r="A118" s="616"/>
      <c r="B118" s="808" t="s">
        <v>928</v>
      </c>
      <c r="C118" s="28"/>
      <c r="D118" s="28"/>
      <c r="E118" s="618"/>
      <c r="F118" s="619" t="str">
        <f>F114+F117</f>
        <v>54.92</v>
      </c>
    </row>
    <row r="119" ht="14.25" customHeight="1">
      <c r="A119" s="730"/>
      <c r="B119" s="911" t="s">
        <v>971</v>
      </c>
      <c r="C119" s="107"/>
      <c r="D119" s="107"/>
      <c r="E119" s="555"/>
      <c r="F119" s="734"/>
    </row>
    <row r="120" ht="14.25" customHeight="1">
      <c r="A120" s="735" t="s">
        <v>972</v>
      </c>
      <c r="B120" s="597" t="s">
        <v>973</v>
      </c>
      <c r="C120" s="736" t="s">
        <v>974</v>
      </c>
      <c r="D120" s="737" t="s">
        <v>975</v>
      </c>
      <c r="E120" s="41"/>
      <c r="F120" s="738" t="s">
        <v>976</v>
      </c>
    </row>
    <row r="121" ht="14.25" customHeight="1">
      <c r="A121" s="740">
        <v>44876.0</v>
      </c>
      <c r="B121" s="600" t="s">
        <v>1200</v>
      </c>
      <c r="C121" s="605">
        <v>31.88</v>
      </c>
      <c r="D121" s="347" t="s">
        <v>1197</v>
      </c>
      <c r="E121" s="41"/>
      <c r="F121" s="844" t="s">
        <v>1201</v>
      </c>
      <c r="I121" s="204" t="s">
        <v>1221</v>
      </c>
    </row>
    <row r="122" ht="14.25" customHeight="1">
      <c r="A122" s="740">
        <v>44882.0</v>
      </c>
      <c r="B122" s="600" t="s">
        <v>1214</v>
      </c>
      <c r="C122" s="605">
        <v>30.77</v>
      </c>
      <c r="D122" s="347" t="s">
        <v>1222</v>
      </c>
      <c r="E122" s="41"/>
      <c r="F122" s="741" t="s">
        <v>1223</v>
      </c>
      <c r="I122" s="204" t="s">
        <v>1224</v>
      </c>
    </row>
    <row r="123" ht="14.25" customHeight="1">
      <c r="A123" s="740">
        <v>44882.0</v>
      </c>
      <c r="B123" s="600" t="s">
        <v>1225</v>
      </c>
      <c r="C123" s="605">
        <v>41.23</v>
      </c>
      <c r="D123" s="347" t="s">
        <v>1226</v>
      </c>
      <c r="E123" s="41"/>
      <c r="F123" s="741" t="s">
        <v>1227</v>
      </c>
      <c r="I123" s="204" t="s">
        <v>1228</v>
      </c>
    </row>
    <row r="124" ht="14.25" customHeight="1">
      <c r="A124" s="720"/>
      <c r="B124" s="721" t="s">
        <v>986</v>
      </c>
      <c r="C124" s="722" t="str">
        <f>MEDIAN(C121:C123)</f>
        <v>31.88</v>
      </c>
      <c r="D124" s="723"/>
      <c r="E124" s="712"/>
      <c r="F124" s="724"/>
    </row>
    <row r="125" ht="14.25" customHeight="1"/>
    <row r="126" ht="14.25" customHeight="1">
      <c r="A126" s="888" t="s">
        <v>547</v>
      </c>
      <c r="B126" s="889" t="s">
        <v>548</v>
      </c>
      <c r="C126" s="775" t="s">
        <v>46</v>
      </c>
      <c r="D126" s="890"/>
      <c r="E126" s="890"/>
      <c r="F126" s="891"/>
      <c r="H126" s="552"/>
    </row>
    <row r="127" ht="14.25" customHeight="1">
      <c r="A127" s="921" t="s">
        <v>1229</v>
      </c>
      <c r="B127" s="107"/>
      <c r="C127" s="107"/>
      <c r="D127" s="107"/>
      <c r="E127" s="107"/>
      <c r="F127" s="781"/>
      <c r="H127" s="909" t="s">
        <v>1167</v>
      </c>
      <c r="I127" s="789"/>
    </row>
    <row r="128" ht="14.25" customHeight="1">
      <c r="A128" s="895"/>
      <c r="B128" s="896" t="s">
        <v>1168</v>
      </c>
      <c r="C128" s="643" t="s">
        <v>919</v>
      </c>
      <c r="D128" s="644" t="s">
        <v>920</v>
      </c>
      <c r="E128" s="897" t="s">
        <v>1169</v>
      </c>
      <c r="F128" s="729" t="s">
        <v>922</v>
      </c>
    </row>
    <row r="129" ht="14.25" customHeight="1">
      <c r="A129" s="691">
        <v>88264.0</v>
      </c>
      <c r="B129" s="600" t="s">
        <v>944</v>
      </c>
      <c r="C129" s="601" t="s">
        <v>924</v>
      </c>
      <c r="D129" s="913">
        <v>0.5</v>
      </c>
      <c r="E129" s="636">
        <v>25.54</v>
      </c>
      <c r="F129" s="914" t="str">
        <f t="shared" ref="F129:F130" si="6">TRUNC(D129*E129,2)</f>
        <v>12.77</v>
      </c>
    </row>
    <row r="130" ht="14.25" customHeight="1">
      <c r="A130" s="599">
        <v>88247.0</v>
      </c>
      <c r="B130" s="600" t="s">
        <v>1170</v>
      </c>
      <c r="C130" s="601" t="s">
        <v>924</v>
      </c>
      <c r="D130" s="913">
        <v>0.5</v>
      </c>
      <c r="E130" s="826">
        <v>21.0</v>
      </c>
      <c r="F130" s="914" t="str">
        <f t="shared" si="6"/>
        <v>10.50</v>
      </c>
    </row>
    <row r="131" ht="14.25" customHeight="1">
      <c r="A131" s="899"/>
      <c r="B131" s="900"/>
      <c r="C131" s="901"/>
      <c r="D131" s="902"/>
      <c r="E131" s="860" t="s">
        <v>927</v>
      </c>
      <c r="F131" s="903" t="str">
        <f>SUM(F129:F130)</f>
        <v>23.27</v>
      </c>
    </row>
    <row r="132" ht="14.25" customHeight="1">
      <c r="A132" s="606"/>
      <c r="B132" s="690" t="s">
        <v>936</v>
      </c>
      <c r="C132" s="595" t="s">
        <v>919</v>
      </c>
      <c r="D132" s="596" t="s">
        <v>920</v>
      </c>
      <c r="E132" s="597" t="s">
        <v>921</v>
      </c>
      <c r="F132" s="598" t="s">
        <v>922</v>
      </c>
    </row>
    <row r="133" ht="14.25" customHeight="1">
      <c r="A133" s="599" t="s">
        <v>966</v>
      </c>
      <c r="B133" s="600" t="s">
        <v>548</v>
      </c>
      <c r="C133" s="601" t="s">
        <v>46</v>
      </c>
      <c r="D133" s="915">
        <v>1.0</v>
      </c>
      <c r="E133" s="916" t="str">
        <f>C141</f>
        <v>1,056.56</v>
      </c>
      <c r="F133" s="914" t="str">
        <f>TRUNC(D133*E133,2)</f>
        <v>1,056.56</v>
      </c>
    </row>
    <row r="134" ht="14.25" customHeight="1">
      <c r="A134" s="905"/>
      <c r="B134" s="906"/>
      <c r="C134" s="907"/>
      <c r="D134" s="908"/>
      <c r="E134" s="860" t="s">
        <v>927</v>
      </c>
      <c r="F134" s="782" t="str">
        <f>SUM(F133)</f>
        <v>1,056.56</v>
      </c>
    </row>
    <row r="135" ht="14.25" customHeight="1">
      <c r="A135" s="616"/>
      <c r="B135" s="808" t="s">
        <v>928</v>
      </c>
      <c r="C135" s="28"/>
      <c r="D135" s="28"/>
      <c r="E135" s="618"/>
      <c r="F135" s="619" t="str">
        <f>F131+F134</f>
        <v>1,079.83</v>
      </c>
    </row>
    <row r="136" ht="14.25" customHeight="1">
      <c r="A136" s="730"/>
      <c r="B136" s="911" t="s">
        <v>971</v>
      </c>
      <c r="C136" s="107"/>
      <c r="D136" s="107"/>
      <c r="E136" s="555"/>
      <c r="F136" s="734"/>
    </row>
    <row r="137" ht="14.25" customHeight="1">
      <c r="A137" s="735" t="s">
        <v>972</v>
      </c>
      <c r="B137" s="597" t="s">
        <v>973</v>
      </c>
      <c r="C137" s="736" t="s">
        <v>974</v>
      </c>
      <c r="D137" s="737" t="s">
        <v>975</v>
      </c>
      <c r="E137" s="41"/>
      <c r="F137" s="738" t="s">
        <v>976</v>
      </c>
    </row>
    <row r="138" ht="14.25" customHeight="1">
      <c r="A138" s="740">
        <v>44869.0</v>
      </c>
      <c r="B138" s="600" t="s">
        <v>1175</v>
      </c>
      <c r="C138" s="605">
        <v>1004.54</v>
      </c>
      <c r="D138" s="347" t="s">
        <v>1176</v>
      </c>
      <c r="E138" s="41"/>
      <c r="F138" s="928" t="s">
        <v>1177</v>
      </c>
    </row>
    <row r="139" ht="14.25" customHeight="1">
      <c r="A139" s="740">
        <v>44872.0</v>
      </c>
      <c r="B139" s="600" t="s">
        <v>1230</v>
      </c>
      <c r="C139" s="605">
        <v>1142.9</v>
      </c>
      <c r="D139" s="347" t="s">
        <v>1231</v>
      </c>
      <c r="E139" s="41"/>
      <c r="F139" s="928" t="s">
        <v>1232</v>
      </c>
      <c r="I139" s="204"/>
      <c r="J139" s="298"/>
    </row>
    <row r="140" ht="22.5" customHeight="1">
      <c r="A140" s="740">
        <v>44859.0</v>
      </c>
      <c r="B140" s="600" t="s">
        <v>1233</v>
      </c>
      <c r="C140" s="605">
        <v>1056.56</v>
      </c>
      <c r="D140" s="347" t="s">
        <v>1197</v>
      </c>
      <c r="E140" s="41"/>
      <c r="F140" s="928" t="s">
        <v>1198</v>
      </c>
      <c r="I140" s="204" t="s">
        <v>1234</v>
      </c>
      <c r="J140" s="348" t="str">
        <f>940.41+116.15</f>
        <v>1056.56</v>
      </c>
    </row>
    <row r="141" ht="14.25" customHeight="1">
      <c r="A141" s="720"/>
      <c r="B141" s="721" t="s">
        <v>986</v>
      </c>
      <c r="C141" s="722" t="str">
        <f>MEDIAN(C138:C140)</f>
        <v>1056.56</v>
      </c>
      <c r="D141" s="723"/>
      <c r="E141" s="712"/>
      <c r="F141" s="724"/>
    </row>
    <row r="142" ht="14.25" customHeight="1"/>
    <row r="143" ht="14.25" customHeight="1">
      <c r="A143" s="888" t="s">
        <v>498</v>
      </c>
      <c r="B143" s="889" t="s">
        <v>499</v>
      </c>
      <c r="C143" s="775" t="s">
        <v>46</v>
      </c>
      <c r="D143" s="890"/>
      <c r="E143" s="890"/>
      <c r="F143" s="891"/>
    </row>
    <row r="144" ht="15.0" customHeight="1">
      <c r="A144" s="921" t="s">
        <v>1235</v>
      </c>
      <c r="B144" s="107"/>
      <c r="C144" s="107"/>
      <c r="D144" s="107"/>
      <c r="E144" s="107"/>
      <c r="F144" s="781"/>
      <c r="H144" s="909" t="s">
        <v>1167</v>
      </c>
    </row>
    <row r="145" ht="14.25" customHeight="1">
      <c r="A145" s="895"/>
      <c r="B145" s="896" t="s">
        <v>1168</v>
      </c>
      <c r="C145" s="643" t="s">
        <v>919</v>
      </c>
      <c r="D145" s="644" t="s">
        <v>920</v>
      </c>
      <c r="E145" s="897" t="s">
        <v>1169</v>
      </c>
      <c r="F145" s="729" t="s">
        <v>922</v>
      </c>
    </row>
    <row r="146" ht="14.25" customHeight="1">
      <c r="A146" s="691">
        <v>88264.0</v>
      </c>
      <c r="B146" s="600" t="s">
        <v>944</v>
      </c>
      <c r="C146" s="601" t="s">
        <v>924</v>
      </c>
      <c r="D146" s="913">
        <v>0.2</v>
      </c>
      <c r="E146" s="636">
        <v>25.54</v>
      </c>
      <c r="F146" s="914" t="str">
        <f t="shared" ref="F146:F147" si="7">TRUNC(D146*E146,2)</f>
        <v>5.10</v>
      </c>
    </row>
    <row r="147" ht="14.25" customHeight="1">
      <c r="A147" s="599">
        <v>88247.0</v>
      </c>
      <c r="B147" s="600" t="s">
        <v>1170</v>
      </c>
      <c r="C147" s="601" t="s">
        <v>924</v>
      </c>
      <c r="D147" s="913">
        <v>0.2</v>
      </c>
      <c r="E147" s="826">
        <v>21.0</v>
      </c>
      <c r="F147" s="914" t="str">
        <f t="shared" si="7"/>
        <v>4.20</v>
      </c>
    </row>
    <row r="148" ht="14.25" customHeight="1">
      <c r="A148" s="899"/>
      <c r="B148" s="900"/>
      <c r="C148" s="901"/>
      <c r="D148" s="902"/>
      <c r="E148" s="860" t="s">
        <v>927</v>
      </c>
      <c r="F148" s="903" t="str">
        <f>SUM(F146:F147)</f>
        <v>9.30</v>
      </c>
    </row>
    <row r="149" ht="14.25" customHeight="1">
      <c r="A149" s="606"/>
      <c r="B149" s="690" t="s">
        <v>936</v>
      </c>
      <c r="C149" s="595" t="s">
        <v>919</v>
      </c>
      <c r="D149" s="596" t="s">
        <v>920</v>
      </c>
      <c r="E149" s="597" t="s">
        <v>921</v>
      </c>
      <c r="F149" s="598" t="s">
        <v>922</v>
      </c>
    </row>
    <row r="150" ht="14.25" customHeight="1">
      <c r="A150" s="599" t="s">
        <v>966</v>
      </c>
      <c r="B150" s="600" t="s">
        <v>1236</v>
      </c>
      <c r="C150" s="601" t="s">
        <v>46</v>
      </c>
      <c r="D150" s="904">
        <v>1.0</v>
      </c>
      <c r="E150" s="826" t="str">
        <f>C161</f>
        <v>106.83</v>
      </c>
      <c r="F150" s="898" t="str">
        <f t="shared" ref="F150:F153" si="8">TRUNC(D150*E150,2)</f>
        <v>106.83</v>
      </c>
    </row>
    <row r="151" ht="14.25" customHeight="1">
      <c r="A151" s="634">
        <v>4374.0</v>
      </c>
      <c r="B151" s="929" t="s">
        <v>1237</v>
      </c>
      <c r="C151" s="601" t="s">
        <v>46</v>
      </c>
      <c r="D151" s="930">
        <v>2.0</v>
      </c>
      <c r="E151" s="826">
        <v>0.37</v>
      </c>
      <c r="F151" s="898" t="str">
        <f t="shared" si="8"/>
        <v>0.74</v>
      </c>
    </row>
    <row r="152" ht="14.25" customHeight="1">
      <c r="A152" s="599" t="s">
        <v>966</v>
      </c>
      <c r="B152" s="929" t="s">
        <v>1238</v>
      </c>
      <c r="C152" s="601" t="s">
        <v>1155</v>
      </c>
      <c r="D152" s="904">
        <v>1.0</v>
      </c>
      <c r="E152" s="826" t="str">
        <f>C173</f>
        <v>56.30</v>
      </c>
      <c r="F152" s="898" t="str">
        <f t="shared" si="8"/>
        <v>56.30</v>
      </c>
    </row>
    <row r="153" ht="14.25" customHeight="1">
      <c r="A153" s="599" t="s">
        <v>966</v>
      </c>
      <c r="B153" s="929" t="s">
        <v>1239</v>
      </c>
      <c r="C153" s="601" t="s">
        <v>69</v>
      </c>
      <c r="D153" s="904">
        <v>1.0</v>
      </c>
      <c r="E153" s="826" t="str">
        <f>C167</f>
        <v>5.20</v>
      </c>
      <c r="F153" s="898" t="str">
        <f t="shared" si="8"/>
        <v>5.20</v>
      </c>
    </row>
    <row r="154" ht="14.25" customHeight="1">
      <c r="A154" s="905"/>
      <c r="B154" s="906"/>
      <c r="C154" s="907"/>
      <c r="D154" s="908"/>
      <c r="E154" s="860" t="s">
        <v>927</v>
      </c>
      <c r="F154" s="782" t="str">
        <f>SUM(F150:F153)</f>
        <v>169.07</v>
      </c>
    </row>
    <row r="155" ht="14.25" customHeight="1">
      <c r="A155" s="616"/>
      <c r="B155" s="808" t="s">
        <v>928</v>
      </c>
      <c r="C155" s="28"/>
      <c r="D155" s="28"/>
      <c r="E155" s="618"/>
      <c r="F155" s="619" t="str">
        <f>F148+F154</f>
        <v>178.37</v>
      </c>
    </row>
    <row r="156" ht="14.25" customHeight="1">
      <c r="A156" s="730"/>
      <c r="B156" s="911" t="s">
        <v>1240</v>
      </c>
      <c r="C156" s="107"/>
      <c r="D156" s="107"/>
      <c r="E156" s="555"/>
      <c r="F156" s="734"/>
    </row>
    <row r="157" ht="14.25" customHeight="1">
      <c r="A157" s="735" t="s">
        <v>972</v>
      </c>
      <c r="B157" s="597" t="s">
        <v>973</v>
      </c>
      <c r="C157" s="736" t="s">
        <v>974</v>
      </c>
      <c r="D157" s="737" t="s">
        <v>975</v>
      </c>
      <c r="E157" s="41"/>
      <c r="F157" s="738" t="s">
        <v>976</v>
      </c>
    </row>
    <row r="158" ht="14.25" customHeight="1">
      <c r="A158" s="740">
        <v>44861.0</v>
      </c>
      <c r="B158" s="600" t="s">
        <v>1188</v>
      </c>
      <c r="C158" s="605" t="str">
        <f>89.23+17.6</f>
        <v>106.83</v>
      </c>
      <c r="D158" s="347" t="s">
        <v>1189</v>
      </c>
      <c r="E158" s="41"/>
      <c r="F158" s="917" t="s">
        <v>1190</v>
      </c>
      <c r="I158" t="s">
        <v>1241</v>
      </c>
    </row>
    <row r="159" ht="14.25" customHeight="1">
      <c r="A159" s="740">
        <v>44859.0</v>
      </c>
      <c r="B159" s="600" t="s">
        <v>1242</v>
      </c>
      <c r="C159" s="605" t="str">
        <f>82.56+28.23</f>
        <v>110.79</v>
      </c>
      <c r="D159" s="347" t="s">
        <v>1243</v>
      </c>
      <c r="E159" s="41"/>
      <c r="F159" s="741" t="s">
        <v>1198</v>
      </c>
      <c r="I159" t="s">
        <v>1244</v>
      </c>
    </row>
    <row r="160" ht="14.25" customHeight="1">
      <c r="A160" s="740">
        <v>44869.0</v>
      </c>
      <c r="B160" s="600" t="s">
        <v>1175</v>
      </c>
      <c r="C160" s="605">
        <v>92.52</v>
      </c>
      <c r="D160" s="347" t="s">
        <v>1176</v>
      </c>
      <c r="E160" s="41"/>
      <c r="F160" s="844" t="s">
        <v>1177</v>
      </c>
    </row>
    <row r="161" ht="14.25" customHeight="1">
      <c r="A161" s="720"/>
      <c r="B161" s="721" t="s">
        <v>986</v>
      </c>
      <c r="C161" s="722" t="str">
        <f>MEDIAN(C158:C160)</f>
        <v>106.83</v>
      </c>
      <c r="D161" s="723"/>
      <c r="E161" s="712"/>
      <c r="F161" s="724"/>
    </row>
    <row r="162" ht="14.25" customHeight="1">
      <c r="A162" s="730"/>
      <c r="B162" s="911" t="s">
        <v>1245</v>
      </c>
      <c r="C162" s="107"/>
      <c r="D162" s="107"/>
      <c r="E162" s="555"/>
      <c r="F162" s="734"/>
    </row>
    <row r="163" ht="14.25" customHeight="1">
      <c r="A163" s="735" t="s">
        <v>972</v>
      </c>
      <c r="B163" s="597" t="s">
        <v>973</v>
      </c>
      <c r="C163" s="736" t="s">
        <v>974</v>
      </c>
      <c r="D163" s="737" t="s">
        <v>975</v>
      </c>
      <c r="E163" s="41"/>
      <c r="F163" s="738" t="s">
        <v>976</v>
      </c>
    </row>
    <row r="164" ht="14.25" customHeight="1">
      <c r="A164" s="740">
        <v>44861.0</v>
      </c>
      <c r="B164" s="600" t="s">
        <v>1188</v>
      </c>
      <c r="C164" s="605">
        <v>23.53</v>
      </c>
      <c r="D164" s="347" t="s">
        <v>1189</v>
      </c>
      <c r="E164" s="41"/>
      <c r="F164" s="917" t="s">
        <v>1190</v>
      </c>
      <c r="H164" t="str">
        <f>(29.47+17.6)/2</f>
        <v>23.535</v>
      </c>
      <c r="I164" t="s">
        <v>1246</v>
      </c>
    </row>
    <row r="165" ht="14.25" customHeight="1">
      <c r="A165" s="740">
        <v>44869.0</v>
      </c>
      <c r="B165" s="600" t="s">
        <v>1175</v>
      </c>
      <c r="C165" s="605">
        <v>4.92</v>
      </c>
      <c r="D165" s="347" t="s">
        <v>1176</v>
      </c>
      <c r="E165" s="41"/>
      <c r="F165" s="844" t="s">
        <v>1177</v>
      </c>
    </row>
    <row r="166" ht="14.25" customHeight="1">
      <c r="A166" s="740">
        <v>44872.0</v>
      </c>
      <c r="B166" s="600" t="s">
        <v>1247</v>
      </c>
      <c r="C166" s="605">
        <v>5.2</v>
      </c>
      <c r="D166" s="347" t="s">
        <v>1248</v>
      </c>
      <c r="E166" s="41"/>
      <c r="F166" s="931" t="s">
        <v>1249</v>
      </c>
      <c r="I166" t="s">
        <v>1250</v>
      </c>
    </row>
    <row r="167" ht="14.25" customHeight="1">
      <c r="A167" s="720"/>
      <c r="B167" s="721" t="s">
        <v>986</v>
      </c>
      <c r="C167" s="722" t="str">
        <f>MEDIAN(C164:C166)</f>
        <v>5.20</v>
      </c>
      <c r="D167" s="723"/>
      <c r="E167" s="712"/>
      <c r="F167" s="724"/>
    </row>
    <row r="168" ht="14.25" customHeight="1">
      <c r="A168" s="762"/>
      <c r="B168" s="911" t="s">
        <v>1251</v>
      </c>
      <c r="C168" s="107"/>
      <c r="D168" s="107"/>
      <c r="E168" s="555"/>
      <c r="F168" s="766"/>
    </row>
    <row r="169" ht="14.25" customHeight="1">
      <c r="A169" s="735" t="s">
        <v>972</v>
      </c>
      <c r="B169" s="597" t="s">
        <v>973</v>
      </c>
      <c r="C169" s="736" t="s">
        <v>974</v>
      </c>
      <c r="D169" s="737" t="s">
        <v>975</v>
      </c>
      <c r="E169" s="41"/>
      <c r="F169" s="738" t="s">
        <v>976</v>
      </c>
    </row>
    <row r="170" ht="14.25" customHeight="1">
      <c r="A170" s="740">
        <v>44861.0</v>
      </c>
      <c r="B170" s="600" t="s">
        <v>1252</v>
      </c>
      <c r="C170" s="605" t="str">
        <f>25.77+20.28</f>
        <v>46.05</v>
      </c>
      <c r="D170" s="347" t="s">
        <v>1253</v>
      </c>
      <c r="E170" s="41"/>
      <c r="F170" s="917" t="s">
        <v>1254</v>
      </c>
      <c r="I170" t="s">
        <v>1255</v>
      </c>
    </row>
    <row r="171" ht="14.25" customHeight="1">
      <c r="A171" s="740">
        <v>44861.0</v>
      </c>
      <c r="B171" s="600" t="s">
        <v>1256</v>
      </c>
      <c r="C171" s="605" t="str">
        <f>69.9+25.99</f>
        <v>95.89</v>
      </c>
      <c r="D171" s="347" t="s">
        <v>1257</v>
      </c>
      <c r="E171" s="41"/>
      <c r="F171" s="917" t="s">
        <v>1258</v>
      </c>
      <c r="I171" s="206" t="s">
        <v>1259</v>
      </c>
    </row>
    <row r="172" ht="14.25" customHeight="1">
      <c r="A172" s="740">
        <v>44861.0</v>
      </c>
      <c r="B172" s="600" t="s">
        <v>1260</v>
      </c>
      <c r="C172" s="605" t="str">
        <f>33.24+23.06</f>
        <v>56.30</v>
      </c>
      <c r="D172" s="347" t="s">
        <v>1261</v>
      </c>
      <c r="E172" s="41"/>
      <c r="F172" s="917" t="s">
        <v>1262</v>
      </c>
      <c r="I172" s="206" t="s">
        <v>1263</v>
      </c>
    </row>
    <row r="173" ht="14.25" customHeight="1">
      <c r="A173" s="720"/>
      <c r="B173" s="721" t="s">
        <v>986</v>
      </c>
      <c r="C173" s="722" t="str">
        <f>MEDIAN(C170:C172)</f>
        <v>56.30</v>
      </c>
      <c r="D173" s="723"/>
      <c r="E173" s="712"/>
      <c r="F173" s="724"/>
    </row>
    <row r="174" ht="14.25" customHeight="1">
      <c r="A174" s="158"/>
    </row>
    <row r="175" ht="14.25" customHeight="1">
      <c r="A175" s="888" t="s">
        <v>518</v>
      </c>
      <c r="B175" s="658" t="s">
        <v>1264</v>
      </c>
      <c r="C175" s="775" t="s">
        <v>46</v>
      </c>
      <c r="D175" s="890"/>
      <c r="E175" s="890"/>
      <c r="F175" s="891"/>
    </row>
    <row r="176" ht="15.0" customHeight="1">
      <c r="A176" s="921" t="s">
        <v>1265</v>
      </c>
      <c r="B176" s="107"/>
      <c r="C176" s="107"/>
      <c r="D176" s="107"/>
      <c r="E176" s="107"/>
      <c r="F176" s="781"/>
      <c r="H176" s="909" t="s">
        <v>1167</v>
      </c>
    </row>
    <row r="177" ht="14.25" customHeight="1">
      <c r="A177" s="895"/>
      <c r="B177" s="896" t="s">
        <v>1168</v>
      </c>
      <c r="C177" s="643" t="s">
        <v>919</v>
      </c>
      <c r="D177" s="644" t="s">
        <v>920</v>
      </c>
      <c r="E177" s="897" t="s">
        <v>1169</v>
      </c>
      <c r="F177" s="729" t="s">
        <v>922</v>
      </c>
    </row>
    <row r="178" ht="14.25" customHeight="1">
      <c r="A178" s="691">
        <v>88264.0</v>
      </c>
      <c r="B178" s="600" t="s">
        <v>944</v>
      </c>
      <c r="C178" s="601" t="s">
        <v>924</v>
      </c>
      <c r="D178" s="913">
        <v>0.2</v>
      </c>
      <c r="E178" s="636">
        <v>25.54</v>
      </c>
      <c r="F178" s="914" t="str">
        <f t="shared" ref="F178:F179" si="9">TRUNC(D178*E178,2)</f>
        <v>5.10</v>
      </c>
    </row>
    <row r="179" ht="14.25" customHeight="1">
      <c r="A179" s="599">
        <v>88247.0</v>
      </c>
      <c r="B179" s="600" t="s">
        <v>1170</v>
      </c>
      <c r="C179" s="601" t="s">
        <v>924</v>
      </c>
      <c r="D179" s="913">
        <v>0.2</v>
      </c>
      <c r="E179" s="826">
        <v>21.0</v>
      </c>
      <c r="F179" s="914" t="str">
        <f t="shared" si="9"/>
        <v>4.20</v>
      </c>
    </row>
    <row r="180" ht="14.25" customHeight="1">
      <c r="A180" s="899"/>
      <c r="B180" s="900"/>
      <c r="C180" s="901"/>
      <c r="D180" s="902"/>
      <c r="E180" s="860" t="s">
        <v>927</v>
      </c>
      <c r="F180" s="903" t="str">
        <f>SUM(F178:F179)</f>
        <v>9.30</v>
      </c>
    </row>
    <row r="181" ht="14.25" customHeight="1">
      <c r="A181" s="606"/>
      <c r="B181" s="690" t="s">
        <v>936</v>
      </c>
      <c r="C181" s="595" t="s">
        <v>919</v>
      </c>
      <c r="D181" s="596" t="s">
        <v>920</v>
      </c>
      <c r="E181" s="597" t="s">
        <v>921</v>
      </c>
      <c r="F181" s="598" t="s">
        <v>922</v>
      </c>
    </row>
    <row r="182" ht="14.25" customHeight="1">
      <c r="A182" s="599" t="s">
        <v>966</v>
      </c>
      <c r="B182" s="600" t="s">
        <v>1266</v>
      </c>
      <c r="C182" s="601" t="s">
        <v>46</v>
      </c>
      <c r="D182" s="915">
        <v>1.0</v>
      </c>
      <c r="E182" s="916" t="str">
        <f>C190</f>
        <v>228.63</v>
      </c>
      <c r="F182" s="914" t="str">
        <f>TRUNC(D182*E182,2)</f>
        <v>228.63</v>
      </c>
    </row>
    <row r="183" ht="14.25" customHeight="1">
      <c r="A183" s="905"/>
      <c r="B183" s="906"/>
      <c r="C183" s="907"/>
      <c r="D183" s="908"/>
      <c r="E183" s="860" t="s">
        <v>927</v>
      </c>
      <c r="F183" s="782" t="str">
        <f>SUM(F182)</f>
        <v>228.63</v>
      </c>
    </row>
    <row r="184" ht="14.25" customHeight="1">
      <c r="A184" s="616"/>
      <c r="B184" s="808" t="s">
        <v>928</v>
      </c>
      <c r="C184" s="28"/>
      <c r="D184" s="28"/>
      <c r="E184" s="618"/>
      <c r="F184" s="619" t="str">
        <f>F180+F183</f>
        <v>237.93</v>
      </c>
    </row>
    <row r="185" ht="14.25" customHeight="1">
      <c r="A185" s="730"/>
      <c r="B185" s="911" t="s">
        <v>971</v>
      </c>
      <c r="C185" s="107"/>
      <c r="D185" s="107"/>
      <c r="E185" s="555"/>
      <c r="F185" s="734"/>
    </row>
    <row r="186" ht="14.25" customHeight="1">
      <c r="A186" s="735" t="s">
        <v>972</v>
      </c>
      <c r="B186" s="597" t="s">
        <v>973</v>
      </c>
      <c r="C186" s="736" t="s">
        <v>974</v>
      </c>
      <c r="D186" s="737" t="s">
        <v>975</v>
      </c>
      <c r="E186" s="41"/>
      <c r="F186" s="738" t="s">
        <v>976</v>
      </c>
    </row>
    <row r="187" ht="14.25" customHeight="1">
      <c r="A187" s="740">
        <v>44861.0</v>
      </c>
      <c r="B187" s="600" t="s">
        <v>1267</v>
      </c>
      <c r="C187" s="605" t="str">
        <f t="shared" ref="C187:C188" si="10">H187</f>
        <v>228.63</v>
      </c>
      <c r="D187" s="347" t="s">
        <v>1189</v>
      </c>
      <c r="E187" s="41"/>
      <c r="F187" s="844" t="s">
        <v>1268</v>
      </c>
      <c r="H187" s="348" t="str">
        <f>206.81+21.82</f>
        <v>228.63</v>
      </c>
      <c r="I187" s="204" t="s">
        <v>1269</v>
      </c>
    </row>
    <row r="188" ht="14.25" customHeight="1">
      <c r="A188" s="740">
        <v>44868.0</v>
      </c>
      <c r="B188" s="600" t="s">
        <v>1270</v>
      </c>
      <c r="C188" s="605" t="str">
        <f t="shared" si="10"/>
        <v>91.21</v>
      </c>
      <c r="D188" s="347" t="s">
        <v>1271</v>
      </c>
      <c r="E188" s="41"/>
      <c r="F188" s="932" t="s">
        <v>1272</v>
      </c>
      <c r="H188" s="298" t="str">
        <f>74.39+16.82</f>
        <v>91.21</v>
      </c>
      <c r="I188" s="204" t="s">
        <v>1273</v>
      </c>
    </row>
    <row r="189" ht="14.25" customHeight="1">
      <c r="A189" s="740">
        <v>44869.0</v>
      </c>
      <c r="B189" s="929" t="s">
        <v>1274</v>
      </c>
      <c r="C189" s="758">
        <v>423.99</v>
      </c>
      <c r="D189" s="347" t="s">
        <v>1275</v>
      </c>
      <c r="E189" s="41"/>
      <c r="F189" s="933" t="s">
        <v>1276</v>
      </c>
      <c r="H189" s="298" t="str">
        <f>13.91+19.33</f>
        <v>33.24</v>
      </c>
      <c r="I189" s="204" t="s">
        <v>1277</v>
      </c>
    </row>
    <row r="190" ht="14.25" customHeight="1">
      <c r="A190" s="720"/>
      <c r="B190" s="721" t="s">
        <v>986</v>
      </c>
      <c r="C190" s="722" t="str">
        <f>MEDIAN(C187:C189)</f>
        <v>228.63</v>
      </c>
      <c r="D190" s="723"/>
      <c r="E190" s="712"/>
      <c r="F190" s="724"/>
    </row>
    <row r="191" ht="14.25" customHeight="1"/>
    <row r="192" ht="14.25" customHeight="1">
      <c r="A192" s="888" t="s">
        <v>446</v>
      </c>
      <c r="B192" s="889" t="s">
        <v>1278</v>
      </c>
      <c r="C192" s="775" t="s">
        <v>46</v>
      </c>
      <c r="D192" s="890"/>
      <c r="E192" s="890"/>
      <c r="F192" s="891"/>
    </row>
    <row r="193" ht="14.25" customHeight="1">
      <c r="A193" s="921" t="s">
        <v>1279</v>
      </c>
      <c r="B193" s="107"/>
      <c r="C193" s="107"/>
      <c r="D193" s="107"/>
      <c r="E193" s="107"/>
      <c r="F193" s="781"/>
      <c r="H193" s="909" t="s">
        <v>1167</v>
      </c>
      <c r="I193" s="95"/>
      <c r="J193" s="95"/>
      <c r="K193" s="95"/>
      <c r="L193" s="95"/>
      <c r="M193" s="95"/>
      <c r="N193" s="95"/>
    </row>
    <row r="194" ht="14.25" customHeight="1">
      <c r="A194" s="895"/>
      <c r="B194" s="896" t="s">
        <v>1168</v>
      </c>
      <c r="C194" s="643" t="s">
        <v>919</v>
      </c>
      <c r="D194" s="644" t="s">
        <v>920</v>
      </c>
      <c r="E194" s="897" t="s">
        <v>1169</v>
      </c>
      <c r="F194" s="729" t="s">
        <v>922</v>
      </c>
    </row>
    <row r="195" ht="14.25" customHeight="1">
      <c r="A195" s="691">
        <v>88264.0</v>
      </c>
      <c r="B195" s="600" t="s">
        <v>944</v>
      </c>
      <c r="C195" s="601" t="s">
        <v>924</v>
      </c>
      <c r="D195" s="913">
        <v>0.05</v>
      </c>
      <c r="E195" s="636">
        <v>25.54</v>
      </c>
      <c r="F195" s="898" t="str">
        <f t="shared" ref="F195:F196" si="11">TRUNC(D195*E195,2)</f>
        <v>1.27</v>
      </c>
    </row>
    <row r="196" ht="14.25" customHeight="1">
      <c r="A196" s="599">
        <v>88247.0</v>
      </c>
      <c r="B196" s="600" t="s">
        <v>1170</v>
      </c>
      <c r="C196" s="601" t="s">
        <v>924</v>
      </c>
      <c r="D196" s="913">
        <v>0.025</v>
      </c>
      <c r="E196" s="826">
        <v>21.0</v>
      </c>
      <c r="F196" s="898" t="str">
        <f t="shared" si="11"/>
        <v>0.52</v>
      </c>
    </row>
    <row r="197" ht="14.25" customHeight="1">
      <c r="A197" s="899"/>
      <c r="B197" s="900"/>
      <c r="C197" s="901"/>
      <c r="D197" s="902"/>
      <c r="E197" s="860" t="s">
        <v>927</v>
      </c>
      <c r="F197" s="910" t="str">
        <f>SUM(F195:F196)</f>
        <v>1.79</v>
      </c>
    </row>
    <row r="198" ht="14.25" customHeight="1">
      <c r="A198" s="606"/>
      <c r="B198" s="690" t="s">
        <v>936</v>
      </c>
      <c r="C198" s="595" t="s">
        <v>919</v>
      </c>
      <c r="D198" s="596" t="s">
        <v>920</v>
      </c>
      <c r="E198" s="597" t="s">
        <v>921</v>
      </c>
      <c r="F198" s="598" t="s">
        <v>922</v>
      </c>
    </row>
    <row r="199" ht="14.25" customHeight="1">
      <c r="A199" s="599">
        <v>39128.0</v>
      </c>
      <c r="B199" s="600" t="s">
        <v>1280</v>
      </c>
      <c r="C199" s="601" t="s">
        <v>46</v>
      </c>
      <c r="D199" s="904">
        <v>1.0</v>
      </c>
      <c r="E199" s="826">
        <v>2.41</v>
      </c>
      <c r="F199" s="898" t="str">
        <f>TRUNC(D199*E199,2)</f>
        <v>2.41</v>
      </c>
    </row>
    <row r="200" ht="14.25" customHeight="1">
      <c r="A200" s="905"/>
      <c r="B200" s="906"/>
      <c r="C200" s="907"/>
      <c r="D200" s="908"/>
      <c r="E200" s="860" t="s">
        <v>927</v>
      </c>
      <c r="F200" s="689" t="str">
        <f>SUM(F199)</f>
        <v>2.41</v>
      </c>
    </row>
    <row r="201" ht="14.25" customHeight="1">
      <c r="A201" s="616"/>
      <c r="B201" s="808" t="s">
        <v>928</v>
      </c>
      <c r="C201" s="28"/>
      <c r="D201" s="28"/>
      <c r="E201" s="618"/>
      <c r="F201" s="869" t="str">
        <f>F197+F200</f>
        <v>4.20</v>
      </c>
    </row>
    <row r="202" ht="14.25" customHeight="1"/>
    <row r="203" ht="41.25" customHeight="1">
      <c r="A203" s="888" t="s">
        <v>544</v>
      </c>
      <c r="B203" s="889" t="s">
        <v>545</v>
      </c>
      <c r="C203" s="775" t="s">
        <v>46</v>
      </c>
      <c r="D203" s="890"/>
      <c r="E203" s="890"/>
      <c r="F203" s="891"/>
    </row>
    <row r="204" ht="15.0" customHeight="1">
      <c r="A204" s="921" t="s">
        <v>1279</v>
      </c>
      <c r="B204" s="107"/>
      <c r="C204" s="107"/>
      <c r="D204" s="107"/>
      <c r="E204" s="107"/>
      <c r="F204" s="781"/>
      <c r="H204" s="909" t="s">
        <v>1167</v>
      </c>
    </row>
    <row r="205" ht="14.25" customHeight="1">
      <c r="A205" s="895"/>
      <c r="B205" s="896" t="s">
        <v>1168</v>
      </c>
      <c r="C205" s="643" t="s">
        <v>919</v>
      </c>
      <c r="D205" s="644" t="s">
        <v>920</v>
      </c>
      <c r="E205" s="897" t="s">
        <v>1169</v>
      </c>
      <c r="F205" s="729" t="s">
        <v>922</v>
      </c>
    </row>
    <row r="206" ht="14.25" customHeight="1">
      <c r="A206" s="691">
        <v>95541.0</v>
      </c>
      <c r="B206" s="600" t="s">
        <v>1281</v>
      </c>
      <c r="C206" s="601" t="s">
        <v>46</v>
      </c>
      <c r="D206" s="693">
        <v>1.0</v>
      </c>
      <c r="E206" s="636">
        <v>4.44</v>
      </c>
      <c r="F206" s="898" t="str">
        <f>TRUNC(D206*E206,2)</f>
        <v>4.44</v>
      </c>
    </row>
    <row r="207" ht="14.25" customHeight="1">
      <c r="A207" s="899"/>
      <c r="B207" s="900"/>
      <c r="C207" s="901"/>
      <c r="D207" s="902"/>
      <c r="E207" s="860" t="s">
        <v>927</v>
      </c>
      <c r="F207" s="903" t="str">
        <f>SUM(F206)</f>
        <v>4.44</v>
      </c>
    </row>
    <row r="208" ht="14.25" customHeight="1">
      <c r="A208" s="606"/>
      <c r="B208" s="690" t="s">
        <v>936</v>
      </c>
      <c r="C208" s="595" t="s">
        <v>919</v>
      </c>
      <c r="D208" s="596" t="s">
        <v>920</v>
      </c>
      <c r="E208" s="597" t="s">
        <v>921</v>
      </c>
      <c r="F208" s="598" t="s">
        <v>922</v>
      </c>
    </row>
    <row r="209" ht="14.25" customHeight="1">
      <c r="A209" s="599">
        <v>11950.0</v>
      </c>
      <c r="B209" s="600" t="s">
        <v>1163</v>
      </c>
      <c r="C209" s="601" t="s">
        <v>46</v>
      </c>
      <c r="D209" s="904">
        <v>1.0</v>
      </c>
      <c r="E209" s="826">
        <v>0.2</v>
      </c>
      <c r="F209" s="898" t="str">
        <f>TRUNC(D209*E209,2)</f>
        <v>0.20</v>
      </c>
    </row>
    <row r="210" ht="14.25" customHeight="1">
      <c r="A210" s="934"/>
      <c r="B210" s="935"/>
      <c r="C210" s="936"/>
      <c r="D210" s="937"/>
      <c r="E210" s="863" t="s">
        <v>927</v>
      </c>
      <c r="F210" s="864" t="str">
        <f>SUM(F209)</f>
        <v>0.20</v>
      </c>
    </row>
    <row r="211" ht="14.25" customHeight="1">
      <c r="A211" s="616"/>
      <c r="B211" s="808" t="s">
        <v>928</v>
      </c>
      <c r="C211" s="28"/>
      <c r="D211" s="28"/>
      <c r="E211" s="618"/>
      <c r="F211" s="869" t="str">
        <f>F207+F210</f>
        <v>4.64</v>
      </c>
    </row>
    <row r="212" ht="14.25" customHeight="1"/>
    <row r="213" ht="14.25" customHeight="1">
      <c r="A213" s="938" t="s">
        <v>503</v>
      </c>
      <c r="B213" s="774" t="s">
        <v>504</v>
      </c>
      <c r="C213" s="939" t="s">
        <v>46</v>
      </c>
      <c r="D213" s="940"/>
      <c r="E213" s="940"/>
      <c r="F213" s="941"/>
      <c r="H213" s="82"/>
    </row>
    <row r="214" ht="14.25" customHeight="1">
      <c r="A214" s="921" t="s">
        <v>1282</v>
      </c>
      <c r="B214" s="107"/>
      <c r="C214" s="107"/>
      <c r="D214" s="107"/>
      <c r="E214" s="107"/>
      <c r="F214" s="781"/>
      <c r="H214" s="909" t="s">
        <v>1167</v>
      </c>
    </row>
    <row r="215" ht="14.25" customHeight="1">
      <c r="A215" s="942"/>
      <c r="B215" s="943" t="s">
        <v>1168</v>
      </c>
      <c r="C215" s="944" t="s">
        <v>919</v>
      </c>
      <c r="D215" s="945" t="s">
        <v>920</v>
      </c>
      <c r="E215" s="946" t="s">
        <v>1169</v>
      </c>
      <c r="F215" s="947" t="s">
        <v>922</v>
      </c>
    </row>
    <row r="216" ht="14.25" customHeight="1">
      <c r="A216" s="691">
        <v>88309.0</v>
      </c>
      <c r="B216" s="672" t="s">
        <v>964</v>
      </c>
      <c r="C216" s="601" t="s">
        <v>924</v>
      </c>
      <c r="D216" s="693">
        <v>2.42</v>
      </c>
      <c r="E216" s="636">
        <v>24.59</v>
      </c>
      <c r="F216" s="898" t="str">
        <f t="shared" ref="F216:F217" si="12">TRUNC(D216*E216,2)</f>
        <v>59.50</v>
      </c>
    </row>
    <row r="217" ht="14.25" customHeight="1">
      <c r="A217" s="599">
        <v>88316.0</v>
      </c>
      <c r="B217" s="635" t="s">
        <v>935</v>
      </c>
      <c r="C217" s="601" t="s">
        <v>924</v>
      </c>
      <c r="D217" s="693">
        <v>4.1</v>
      </c>
      <c r="E217" s="826">
        <v>19.45</v>
      </c>
      <c r="F217" s="898" t="str">
        <f t="shared" si="12"/>
        <v>79.74</v>
      </c>
    </row>
    <row r="218" ht="14.25" customHeight="1">
      <c r="A218" s="899"/>
      <c r="B218" s="900"/>
      <c r="C218" s="901"/>
      <c r="D218" s="902"/>
      <c r="E218" s="948" t="s">
        <v>927</v>
      </c>
      <c r="F218" s="910" t="str">
        <f>SUM(F216:F217)</f>
        <v>139.24</v>
      </c>
    </row>
    <row r="219" ht="14.25" customHeight="1">
      <c r="A219" s="606"/>
      <c r="B219" s="690" t="s">
        <v>936</v>
      </c>
      <c r="C219" s="949" t="s">
        <v>919</v>
      </c>
      <c r="D219" s="950" t="s">
        <v>920</v>
      </c>
      <c r="E219" s="944" t="s">
        <v>921</v>
      </c>
      <c r="F219" s="610" t="s">
        <v>922</v>
      </c>
    </row>
    <row r="220" ht="14.25" customHeight="1">
      <c r="A220" s="951">
        <v>43059.0</v>
      </c>
      <c r="B220" s="635" t="s">
        <v>1283</v>
      </c>
      <c r="C220" s="601" t="s">
        <v>107</v>
      </c>
      <c r="D220" s="810">
        <v>0.56</v>
      </c>
      <c r="E220" s="826">
        <v>10.08</v>
      </c>
      <c r="F220" s="898" t="str">
        <f t="shared" ref="F220:F228" si="13">TRUNC(D220*E220,2)</f>
        <v>5.64</v>
      </c>
    </row>
    <row r="221" ht="14.25" customHeight="1">
      <c r="A221" s="951">
        <v>367.0</v>
      </c>
      <c r="B221" s="635" t="s">
        <v>1284</v>
      </c>
      <c r="C221" s="756" t="s">
        <v>58</v>
      </c>
      <c r="D221" s="952">
        <v>0.00504</v>
      </c>
      <c r="E221" s="826">
        <v>126.63</v>
      </c>
      <c r="F221" s="898" t="str">
        <f t="shared" si="13"/>
        <v>0.63</v>
      </c>
    </row>
    <row r="222" ht="14.25" customHeight="1">
      <c r="A222" s="951">
        <v>370.0</v>
      </c>
      <c r="B222" s="635" t="s">
        <v>1130</v>
      </c>
      <c r="C222" s="756" t="s">
        <v>58</v>
      </c>
      <c r="D222" s="953">
        <v>0.07</v>
      </c>
      <c r="E222" s="826">
        <v>125.0</v>
      </c>
      <c r="F222" s="898" t="str">
        <f t="shared" si="13"/>
        <v>8.75</v>
      </c>
    </row>
    <row r="223" ht="14.25" customHeight="1">
      <c r="A223" s="951">
        <v>1106.0</v>
      </c>
      <c r="B223" s="635" t="s">
        <v>1131</v>
      </c>
      <c r="C223" s="601" t="s">
        <v>107</v>
      </c>
      <c r="D223" s="954">
        <v>5.78</v>
      </c>
      <c r="E223" s="826">
        <v>0.95</v>
      </c>
      <c r="F223" s="898" t="str">
        <f t="shared" si="13"/>
        <v>5.49</v>
      </c>
    </row>
    <row r="224" ht="14.25" customHeight="1">
      <c r="A224" s="951">
        <v>1358.0</v>
      </c>
      <c r="B224" s="635" t="s">
        <v>1285</v>
      </c>
      <c r="C224" s="756" t="s">
        <v>53</v>
      </c>
      <c r="D224" s="954">
        <v>0.08</v>
      </c>
      <c r="E224" s="826">
        <v>78.69</v>
      </c>
      <c r="F224" s="898" t="str">
        <f t="shared" si="13"/>
        <v>6.29</v>
      </c>
      <c r="I224" s="335"/>
    </row>
    <row r="225" ht="14.25" customHeight="1">
      <c r="A225" s="951">
        <v>1379.0</v>
      </c>
      <c r="B225" s="635" t="s">
        <v>1286</v>
      </c>
      <c r="C225" s="601" t="s">
        <v>107</v>
      </c>
      <c r="D225" s="954">
        <v>16.47</v>
      </c>
      <c r="E225" s="826">
        <v>0.95</v>
      </c>
      <c r="F225" s="898" t="str">
        <f t="shared" si="13"/>
        <v>15.64</v>
      </c>
    </row>
    <row r="226" ht="14.25" customHeight="1">
      <c r="A226" s="951">
        <v>4718.0</v>
      </c>
      <c r="B226" s="635" t="s">
        <v>1287</v>
      </c>
      <c r="C226" s="756" t="s">
        <v>58</v>
      </c>
      <c r="D226" s="952">
        <v>0.00584</v>
      </c>
      <c r="E226" s="826">
        <v>108.18</v>
      </c>
      <c r="F226" s="898" t="str">
        <f t="shared" si="13"/>
        <v>0.63</v>
      </c>
    </row>
    <row r="227" ht="14.25" customHeight="1">
      <c r="A227" s="951">
        <v>4722.0</v>
      </c>
      <c r="B227" s="635" t="s">
        <v>1288</v>
      </c>
      <c r="C227" s="756" t="s">
        <v>58</v>
      </c>
      <c r="D227" s="952">
        <v>0.00584</v>
      </c>
      <c r="E227" s="826">
        <v>101.65</v>
      </c>
      <c r="F227" s="898" t="str">
        <f t="shared" si="13"/>
        <v>0.59</v>
      </c>
    </row>
    <row r="228" ht="14.25" customHeight="1">
      <c r="A228" s="951">
        <v>7258.0</v>
      </c>
      <c r="B228" s="635" t="s">
        <v>1289</v>
      </c>
      <c r="C228" s="756" t="s">
        <v>46</v>
      </c>
      <c r="D228" s="954">
        <v>89.0</v>
      </c>
      <c r="E228" s="826">
        <v>0.92</v>
      </c>
      <c r="F228" s="898" t="str">
        <f t="shared" si="13"/>
        <v>81.88</v>
      </c>
    </row>
    <row r="229" ht="14.25" customHeight="1">
      <c r="A229" s="955"/>
      <c r="B229" s="906"/>
      <c r="C229" s="907"/>
      <c r="D229" s="908"/>
      <c r="E229" s="948" t="s">
        <v>927</v>
      </c>
      <c r="F229" s="689" t="str">
        <f>SUM(F220:F228)</f>
        <v>125.54</v>
      </c>
    </row>
    <row r="230" ht="14.25" customHeight="1">
      <c r="A230" s="956"/>
      <c r="B230" s="957" t="s">
        <v>928</v>
      </c>
      <c r="C230" s="28"/>
      <c r="D230" s="28"/>
      <c r="E230" s="618"/>
      <c r="F230" s="958" t="str">
        <f>F218+F229</f>
        <v>264.78</v>
      </c>
    </row>
    <row r="231" ht="14.25" customHeight="1"/>
    <row r="232" ht="14.25" customHeight="1">
      <c r="A232" s="888" t="s">
        <v>506</v>
      </c>
      <c r="B232" s="889" t="s">
        <v>507</v>
      </c>
      <c r="C232" s="775" t="s">
        <v>46</v>
      </c>
      <c r="D232" s="890"/>
      <c r="E232" s="890"/>
      <c r="F232" s="891"/>
      <c r="H232" s="82"/>
    </row>
    <row r="233" ht="14.25" customHeight="1">
      <c r="A233" s="921" t="s">
        <v>1290</v>
      </c>
      <c r="B233" s="107"/>
      <c r="C233" s="107"/>
      <c r="D233" s="107"/>
      <c r="E233" s="107"/>
      <c r="F233" s="781"/>
      <c r="H233" s="82" t="s">
        <v>1167</v>
      </c>
    </row>
    <row r="234" ht="14.25" customHeight="1">
      <c r="A234" s="895"/>
      <c r="B234" s="896" t="s">
        <v>1168</v>
      </c>
      <c r="C234" s="643" t="s">
        <v>919</v>
      </c>
      <c r="D234" s="644" t="s">
        <v>920</v>
      </c>
      <c r="E234" s="897" t="s">
        <v>1169</v>
      </c>
      <c r="F234" s="729" t="s">
        <v>922</v>
      </c>
    </row>
    <row r="235" ht="14.25" customHeight="1">
      <c r="A235" s="691">
        <v>88264.0</v>
      </c>
      <c r="B235" s="600" t="s">
        <v>944</v>
      </c>
      <c r="C235" s="601" t="s">
        <v>924</v>
      </c>
      <c r="D235" s="693">
        <v>0.346</v>
      </c>
      <c r="E235" s="636">
        <v>25.54</v>
      </c>
      <c r="F235" s="898" t="str">
        <f t="shared" ref="F235:F236" si="14">TRUNC(D235*E235,2)</f>
        <v>8.83</v>
      </c>
    </row>
    <row r="236" ht="14.25" customHeight="1">
      <c r="A236" s="599">
        <v>88247.0</v>
      </c>
      <c r="B236" s="600" t="s">
        <v>1170</v>
      </c>
      <c r="C236" s="601" t="s">
        <v>924</v>
      </c>
      <c r="D236" s="693">
        <v>0.346</v>
      </c>
      <c r="E236" s="826">
        <v>21.0</v>
      </c>
      <c r="F236" s="898" t="str">
        <f t="shared" si="14"/>
        <v>7.26</v>
      </c>
    </row>
    <row r="237" ht="14.25" customHeight="1">
      <c r="A237" s="899"/>
      <c r="B237" s="900"/>
      <c r="C237" s="901"/>
      <c r="D237" s="902"/>
      <c r="E237" s="860" t="s">
        <v>927</v>
      </c>
      <c r="F237" s="910" t="str">
        <f>SUM(F235:F236)</f>
        <v>16.09</v>
      </c>
    </row>
    <row r="238" ht="14.25" customHeight="1">
      <c r="A238" s="663"/>
      <c r="B238" s="690" t="s">
        <v>936</v>
      </c>
      <c r="C238" s="595" t="s">
        <v>919</v>
      </c>
      <c r="D238" s="596" t="s">
        <v>920</v>
      </c>
      <c r="E238" s="597" t="s">
        <v>921</v>
      </c>
      <c r="F238" s="598" t="s">
        <v>922</v>
      </c>
    </row>
    <row r="239" ht="14.25" customHeight="1">
      <c r="A239" s="599">
        <v>39771.0</v>
      </c>
      <c r="B239" s="600" t="s">
        <v>1291</v>
      </c>
      <c r="C239" s="601" t="s">
        <v>46</v>
      </c>
      <c r="D239" s="904">
        <v>1.0</v>
      </c>
      <c r="E239" s="826">
        <v>42.05</v>
      </c>
      <c r="F239" s="898" t="str">
        <f>TRUNC(D239*E239,2)</f>
        <v>42.05</v>
      </c>
    </row>
    <row r="240" ht="14.25" customHeight="1">
      <c r="A240" s="905"/>
      <c r="B240" s="906"/>
      <c r="C240" s="907"/>
      <c r="D240" s="908"/>
      <c r="E240" s="860" t="s">
        <v>927</v>
      </c>
      <c r="F240" s="689" t="str">
        <f>SUM(F239)</f>
        <v>42.05</v>
      </c>
    </row>
    <row r="241" ht="14.25" customHeight="1">
      <c r="A241" s="616"/>
      <c r="B241" s="808" t="s">
        <v>928</v>
      </c>
      <c r="C241" s="28"/>
      <c r="D241" s="28"/>
      <c r="E241" s="618"/>
      <c r="F241" s="869" t="str">
        <f>F237+F240</f>
        <v>58.14</v>
      </c>
    </row>
    <row r="242" ht="14.25" customHeight="1"/>
    <row r="243" ht="14.25" customHeight="1">
      <c r="A243" s="888" t="s">
        <v>440</v>
      </c>
      <c r="B243" s="889" t="s">
        <v>509</v>
      </c>
      <c r="C243" s="775" t="s">
        <v>46</v>
      </c>
      <c r="D243" s="890"/>
      <c r="E243" s="890"/>
      <c r="F243" s="891"/>
      <c r="H243" s="82"/>
    </row>
    <row r="244" ht="14.25" customHeight="1">
      <c r="A244" s="921" t="s">
        <v>1290</v>
      </c>
      <c r="B244" s="107"/>
      <c r="C244" s="107"/>
      <c r="D244" s="107"/>
      <c r="E244" s="107"/>
      <c r="F244" s="781"/>
      <c r="H244" s="82" t="s">
        <v>1167</v>
      </c>
    </row>
    <row r="245" ht="14.25" customHeight="1">
      <c r="A245" s="895"/>
      <c r="B245" s="896" t="s">
        <v>1168</v>
      </c>
      <c r="C245" s="643" t="s">
        <v>919</v>
      </c>
      <c r="D245" s="644" t="s">
        <v>920</v>
      </c>
      <c r="E245" s="897" t="s">
        <v>1169</v>
      </c>
      <c r="F245" s="729" t="s">
        <v>922</v>
      </c>
    </row>
    <row r="246" ht="14.25" customHeight="1">
      <c r="A246" s="691">
        <v>88264.0</v>
      </c>
      <c r="B246" s="600" t="s">
        <v>944</v>
      </c>
      <c r="C246" s="601" t="s">
        <v>924</v>
      </c>
      <c r="D246" s="693">
        <v>0.346</v>
      </c>
      <c r="E246" s="636">
        <v>25.54</v>
      </c>
      <c r="F246" s="898" t="str">
        <f t="shared" ref="F246:F247" si="15">TRUNC(D246*E246,2)</f>
        <v>8.83</v>
      </c>
    </row>
    <row r="247" ht="14.25" customHeight="1">
      <c r="A247" s="599">
        <v>88247.0</v>
      </c>
      <c r="B247" s="600" t="s">
        <v>1170</v>
      </c>
      <c r="C247" s="601" t="s">
        <v>924</v>
      </c>
      <c r="D247" s="693">
        <v>0.346</v>
      </c>
      <c r="E247" s="826">
        <v>21.0</v>
      </c>
      <c r="F247" s="898" t="str">
        <f t="shared" si="15"/>
        <v>7.26</v>
      </c>
    </row>
    <row r="248" ht="14.25" customHeight="1">
      <c r="A248" s="899"/>
      <c r="B248" s="900"/>
      <c r="C248" s="901"/>
      <c r="D248" s="902"/>
      <c r="E248" s="860" t="s">
        <v>927</v>
      </c>
      <c r="F248" s="910" t="str">
        <f>SUM(F246:F247)</f>
        <v>16.09</v>
      </c>
    </row>
    <row r="249" ht="14.25" customHeight="1">
      <c r="A249" s="663"/>
      <c r="B249" s="690" t="s">
        <v>936</v>
      </c>
      <c r="C249" s="595" t="s">
        <v>919</v>
      </c>
      <c r="D249" s="596" t="s">
        <v>920</v>
      </c>
      <c r="E249" s="597" t="s">
        <v>921</v>
      </c>
      <c r="F249" s="598" t="s">
        <v>922</v>
      </c>
    </row>
    <row r="250" ht="14.25" customHeight="1">
      <c r="A250" s="599">
        <v>39773.0</v>
      </c>
      <c r="B250" s="600" t="s">
        <v>1292</v>
      </c>
      <c r="C250" s="601" t="s">
        <v>46</v>
      </c>
      <c r="D250" s="904">
        <v>1.0</v>
      </c>
      <c r="E250" s="826">
        <v>132.85</v>
      </c>
      <c r="F250" s="898" t="str">
        <f>TRUNC(D250*E250,2)</f>
        <v>132.85</v>
      </c>
    </row>
    <row r="251" ht="14.25" customHeight="1">
      <c r="A251" s="905"/>
      <c r="B251" s="906"/>
      <c r="C251" s="907"/>
      <c r="D251" s="908"/>
      <c r="E251" s="860" t="s">
        <v>927</v>
      </c>
      <c r="F251" s="689" t="str">
        <f>SUM(F250)</f>
        <v>132.85</v>
      </c>
    </row>
    <row r="252" ht="14.25" customHeight="1">
      <c r="A252" s="616"/>
      <c r="B252" s="808" t="s">
        <v>928</v>
      </c>
      <c r="C252" s="28"/>
      <c r="D252" s="28"/>
      <c r="E252" s="618"/>
      <c r="F252" s="869" t="str">
        <f>F248+F251</f>
        <v>148.94</v>
      </c>
    </row>
    <row r="253" ht="14.25" customHeight="1">
      <c r="A253" s="323"/>
      <c r="B253" s="878"/>
      <c r="C253" s="878"/>
      <c r="D253" s="878"/>
      <c r="E253" s="878"/>
      <c r="F253" s="879"/>
    </row>
    <row r="254" ht="14.25" customHeight="1">
      <c r="A254" s="888" t="s">
        <v>521</v>
      </c>
      <c r="B254" s="889" t="s">
        <v>522</v>
      </c>
      <c r="C254" s="775" t="s">
        <v>46</v>
      </c>
      <c r="D254" s="890"/>
      <c r="E254" s="890"/>
      <c r="F254" s="891"/>
      <c r="I254" s="959" t="s">
        <v>550</v>
      </c>
    </row>
    <row r="255" ht="14.25" customHeight="1">
      <c r="A255" s="921" t="s">
        <v>1229</v>
      </c>
      <c r="B255" s="107"/>
      <c r="C255" s="107"/>
      <c r="D255" s="107"/>
      <c r="E255" s="107"/>
      <c r="F255" s="781"/>
      <c r="H255" s="82" t="s">
        <v>1167</v>
      </c>
    </row>
    <row r="256" ht="14.25" customHeight="1">
      <c r="A256" s="895"/>
      <c r="B256" s="896" t="s">
        <v>1168</v>
      </c>
      <c r="C256" s="643" t="s">
        <v>919</v>
      </c>
      <c r="D256" s="644" t="s">
        <v>920</v>
      </c>
      <c r="E256" s="897" t="s">
        <v>1169</v>
      </c>
      <c r="F256" s="729" t="s">
        <v>922</v>
      </c>
    </row>
    <row r="257" ht="14.25" customHeight="1">
      <c r="A257" s="691">
        <v>88264.0</v>
      </c>
      <c r="B257" s="600" t="s">
        <v>944</v>
      </c>
      <c r="C257" s="601" t="s">
        <v>924</v>
      </c>
      <c r="D257" s="913">
        <v>0.2</v>
      </c>
      <c r="E257" s="636">
        <v>25.54</v>
      </c>
      <c r="F257" s="914" t="str">
        <f t="shared" ref="F257:F258" si="16">TRUNC(D257*E257,2)</f>
        <v>5.10</v>
      </c>
    </row>
    <row r="258" ht="14.25" customHeight="1">
      <c r="A258" s="599">
        <v>88247.0</v>
      </c>
      <c r="B258" s="600" t="s">
        <v>1170</v>
      </c>
      <c r="C258" s="601" t="s">
        <v>924</v>
      </c>
      <c r="D258" s="913">
        <v>0.2</v>
      </c>
      <c r="E258" s="826">
        <v>21.0</v>
      </c>
      <c r="F258" s="914" t="str">
        <f t="shared" si="16"/>
        <v>4.20</v>
      </c>
    </row>
    <row r="259" ht="14.25" customHeight="1">
      <c r="A259" s="899"/>
      <c r="B259" s="900"/>
      <c r="C259" s="901"/>
      <c r="D259" s="902"/>
      <c r="E259" s="860" t="s">
        <v>927</v>
      </c>
      <c r="F259" s="903" t="str">
        <f>SUM(F257:F258)</f>
        <v>9.30</v>
      </c>
    </row>
    <row r="260" ht="14.25" customHeight="1">
      <c r="A260" s="606"/>
      <c r="B260" s="690" t="s">
        <v>936</v>
      </c>
      <c r="C260" s="595" t="s">
        <v>919</v>
      </c>
      <c r="D260" s="596" t="s">
        <v>920</v>
      </c>
      <c r="E260" s="597" t="s">
        <v>921</v>
      </c>
      <c r="F260" s="598" t="s">
        <v>922</v>
      </c>
    </row>
    <row r="261" ht="14.25" customHeight="1">
      <c r="A261" s="599" t="s">
        <v>966</v>
      </c>
      <c r="B261" s="600" t="s">
        <v>522</v>
      </c>
      <c r="C261" s="601" t="s">
        <v>46</v>
      </c>
      <c r="D261" s="915">
        <v>1.0</v>
      </c>
      <c r="E261" s="916" t="str">
        <f>C269</f>
        <v>1.41</v>
      </c>
      <c r="F261" s="914" t="str">
        <f>TRUNC(D261*E261,2)</f>
        <v>1.41</v>
      </c>
    </row>
    <row r="262" ht="14.25" customHeight="1">
      <c r="A262" s="905"/>
      <c r="B262" s="906"/>
      <c r="C262" s="907"/>
      <c r="D262" s="908"/>
      <c r="E262" s="860" t="s">
        <v>927</v>
      </c>
      <c r="F262" s="782" t="str">
        <f>SUM(F261)</f>
        <v>1.41</v>
      </c>
    </row>
    <row r="263" ht="14.25" customHeight="1">
      <c r="A263" s="616"/>
      <c r="B263" s="808" t="s">
        <v>928</v>
      </c>
      <c r="C263" s="28"/>
      <c r="D263" s="28"/>
      <c r="E263" s="618"/>
      <c r="F263" s="619" t="str">
        <f>F259+F262</f>
        <v>10.71</v>
      </c>
    </row>
    <row r="264" ht="14.25" customHeight="1">
      <c r="A264" s="730"/>
      <c r="B264" s="911" t="s">
        <v>971</v>
      </c>
      <c r="C264" s="107"/>
      <c r="D264" s="107"/>
      <c r="E264" s="555"/>
      <c r="F264" s="734"/>
    </row>
    <row r="265" ht="14.25" customHeight="1">
      <c r="A265" s="735" t="s">
        <v>972</v>
      </c>
      <c r="B265" s="597" t="s">
        <v>973</v>
      </c>
      <c r="C265" s="736" t="s">
        <v>974</v>
      </c>
      <c r="D265" s="737" t="s">
        <v>975</v>
      </c>
      <c r="E265" s="41"/>
      <c r="F265" s="738" t="s">
        <v>976</v>
      </c>
    </row>
    <row r="266" ht="14.25" customHeight="1">
      <c r="A266" s="740">
        <v>44868.0</v>
      </c>
      <c r="B266" s="600" t="s">
        <v>1293</v>
      </c>
      <c r="C266" s="605">
        <v>1.29</v>
      </c>
      <c r="D266" s="347" t="s">
        <v>1294</v>
      </c>
      <c r="E266" s="41"/>
      <c r="F266" s="917" t="s">
        <v>1295</v>
      </c>
    </row>
    <row r="267" ht="14.25" customHeight="1">
      <c r="A267" s="740">
        <v>44869.0</v>
      </c>
      <c r="B267" s="600" t="s">
        <v>1247</v>
      </c>
      <c r="C267" s="605">
        <v>6.6</v>
      </c>
      <c r="D267" s="347" t="s">
        <v>1248</v>
      </c>
      <c r="E267" s="41"/>
      <c r="F267" s="917" t="s">
        <v>1249</v>
      </c>
    </row>
    <row r="268" ht="14.25" customHeight="1">
      <c r="A268" s="740">
        <v>44872.0</v>
      </c>
      <c r="B268" s="600" t="s">
        <v>1296</v>
      </c>
      <c r="C268" s="605">
        <v>1.41</v>
      </c>
      <c r="D268" s="347" t="s">
        <v>1176</v>
      </c>
      <c r="E268" s="41"/>
      <c r="F268" s="917" t="s">
        <v>1177</v>
      </c>
    </row>
    <row r="269" ht="14.25" customHeight="1">
      <c r="A269" s="720"/>
      <c r="B269" s="721" t="s">
        <v>986</v>
      </c>
      <c r="C269" s="722" t="str">
        <f>MEDIAN(C266:C268)</f>
        <v>1.41</v>
      </c>
      <c r="D269" s="723"/>
      <c r="E269" s="712"/>
      <c r="F269" s="724"/>
    </row>
    <row r="270" ht="14.25" customHeight="1">
      <c r="A270" s="323"/>
      <c r="B270" s="878"/>
      <c r="C270" s="878"/>
      <c r="D270" s="878"/>
      <c r="E270" s="878"/>
      <c r="F270" s="879"/>
    </row>
    <row r="271" ht="15.75" customHeight="1">
      <c r="A271" s="888" t="s">
        <v>552</v>
      </c>
      <c r="B271" s="889" t="s">
        <v>553</v>
      </c>
      <c r="C271" s="775" t="s">
        <v>46</v>
      </c>
      <c r="D271" s="890"/>
      <c r="E271" s="890"/>
      <c r="F271" s="891"/>
      <c r="I271" s="959"/>
    </row>
    <row r="272" ht="14.25" customHeight="1">
      <c r="A272" s="921" t="s">
        <v>1297</v>
      </c>
      <c r="B272" s="107"/>
      <c r="C272" s="107"/>
      <c r="D272" s="107"/>
      <c r="E272" s="107"/>
      <c r="F272" s="781"/>
      <c r="H272" s="82" t="s">
        <v>1167</v>
      </c>
    </row>
    <row r="273" ht="14.25" customHeight="1">
      <c r="A273" s="895"/>
      <c r="B273" s="896" t="s">
        <v>1168</v>
      </c>
      <c r="C273" s="643" t="s">
        <v>919</v>
      </c>
      <c r="D273" s="644" t="s">
        <v>920</v>
      </c>
      <c r="E273" s="897" t="s">
        <v>1169</v>
      </c>
      <c r="F273" s="729" t="s">
        <v>922</v>
      </c>
    </row>
    <row r="274" ht="14.25" customHeight="1">
      <c r="A274" s="174">
        <v>88264.0</v>
      </c>
      <c r="B274" s="600" t="s">
        <v>944</v>
      </c>
      <c r="C274" s="601" t="s">
        <v>924</v>
      </c>
      <c r="D274" s="693">
        <v>0.3</v>
      </c>
      <c r="E274" s="636">
        <v>25.54</v>
      </c>
      <c r="F274" s="898" t="str">
        <f t="shared" ref="F274:F275" si="17">TRUNC(D274*E274,2)</f>
        <v>7.66</v>
      </c>
    </row>
    <row r="275" ht="14.25" customHeight="1">
      <c r="A275" s="960">
        <v>88247.0</v>
      </c>
      <c r="B275" s="600" t="s">
        <v>1170</v>
      </c>
      <c r="C275" s="601" t="s">
        <v>924</v>
      </c>
      <c r="D275" s="693">
        <v>0.3</v>
      </c>
      <c r="E275" s="826">
        <v>21.0</v>
      </c>
      <c r="F275" s="898" t="str">
        <f t="shared" si="17"/>
        <v>6.30</v>
      </c>
    </row>
    <row r="276" ht="14.25" customHeight="1">
      <c r="A276" s="899"/>
      <c r="B276" s="900"/>
      <c r="C276" s="901"/>
      <c r="D276" s="902"/>
      <c r="E276" s="860" t="s">
        <v>927</v>
      </c>
      <c r="F276" s="910" t="str">
        <f>SUM(F274:F275)</f>
        <v>13.96</v>
      </c>
    </row>
    <row r="277" ht="14.25" customHeight="1">
      <c r="A277" s="606"/>
      <c r="B277" s="690" t="s">
        <v>936</v>
      </c>
      <c r="C277" s="595" t="s">
        <v>919</v>
      </c>
      <c r="D277" s="596" t="s">
        <v>920</v>
      </c>
      <c r="E277" s="597" t="s">
        <v>921</v>
      </c>
      <c r="F277" s="598" t="s">
        <v>922</v>
      </c>
    </row>
    <row r="278" ht="14.25" customHeight="1">
      <c r="A278" s="599" t="s">
        <v>966</v>
      </c>
      <c r="B278" s="961" t="s">
        <v>1298</v>
      </c>
      <c r="C278" s="601" t="s">
        <v>46</v>
      </c>
      <c r="D278" s="904">
        <v>1.0</v>
      </c>
      <c r="E278" s="826" t="str">
        <f>C286</f>
        <v>460.00</v>
      </c>
      <c r="F278" s="898" t="str">
        <f>TRUNC(D278*E278,2)</f>
        <v>460.00</v>
      </c>
    </row>
    <row r="279" ht="14.25" customHeight="1">
      <c r="A279" s="905"/>
      <c r="B279" s="906"/>
      <c r="C279" s="907"/>
      <c r="D279" s="908"/>
      <c r="E279" s="860" t="s">
        <v>927</v>
      </c>
      <c r="F279" s="689" t="str">
        <f>SUM(F278)</f>
        <v>460.00</v>
      </c>
    </row>
    <row r="280" ht="14.25" customHeight="1">
      <c r="A280" s="616"/>
      <c r="B280" s="808" t="s">
        <v>928</v>
      </c>
      <c r="C280" s="28"/>
      <c r="D280" s="28"/>
      <c r="E280" s="618"/>
      <c r="F280" s="869" t="str">
        <f>F276+F279</f>
        <v>473.96</v>
      </c>
    </row>
    <row r="281" ht="14.25" customHeight="1">
      <c r="A281" s="730"/>
      <c r="B281" s="731" t="s">
        <v>971</v>
      </c>
      <c r="C281" s="732"/>
      <c r="D281" s="732"/>
      <c r="E281" s="733"/>
      <c r="F281" s="734"/>
    </row>
    <row r="282" ht="14.25" customHeight="1">
      <c r="A282" s="735" t="s">
        <v>972</v>
      </c>
      <c r="B282" s="597" t="s">
        <v>973</v>
      </c>
      <c r="C282" s="736" t="s">
        <v>974</v>
      </c>
      <c r="D282" s="737" t="s">
        <v>975</v>
      </c>
      <c r="E282" s="41"/>
      <c r="F282" s="738" t="s">
        <v>976</v>
      </c>
    </row>
    <row r="283" ht="19.5" customHeight="1">
      <c r="A283" s="740">
        <v>44859.0</v>
      </c>
      <c r="B283" s="600" t="s">
        <v>1299</v>
      </c>
      <c r="C283" s="605">
        <v>460.0</v>
      </c>
      <c r="D283" s="347" t="s">
        <v>1300</v>
      </c>
      <c r="E283" s="41"/>
      <c r="F283" s="844" t="s">
        <v>1301</v>
      </c>
    </row>
    <row r="284" ht="14.25" customHeight="1">
      <c r="A284" s="740">
        <v>44861.0</v>
      </c>
      <c r="B284" s="600" t="s">
        <v>1188</v>
      </c>
      <c r="C284" s="605">
        <v>514.18</v>
      </c>
      <c r="D284" s="347" t="s">
        <v>1189</v>
      </c>
      <c r="E284" s="41"/>
      <c r="F284" s="917" t="s">
        <v>1302</v>
      </c>
      <c r="I284" s="204" t="s">
        <v>1303</v>
      </c>
    </row>
    <row r="285" ht="14.25" customHeight="1">
      <c r="A285" s="740">
        <v>44861.0</v>
      </c>
      <c r="B285" s="600" t="s">
        <v>1304</v>
      </c>
      <c r="C285" s="605">
        <v>440.43</v>
      </c>
      <c r="D285" s="347" t="s">
        <v>1305</v>
      </c>
      <c r="E285" s="41"/>
      <c r="F285" s="917" t="s">
        <v>1306</v>
      </c>
      <c r="I285" s="204" t="s">
        <v>1307</v>
      </c>
    </row>
    <row r="286" ht="14.25" customHeight="1">
      <c r="A286" s="720"/>
      <c r="B286" s="721" t="s">
        <v>986</v>
      </c>
      <c r="C286" s="722" t="str">
        <f>MEDIAN(C283:C285)</f>
        <v>460.00</v>
      </c>
      <c r="D286" s="723"/>
      <c r="E286" s="712"/>
      <c r="F286" s="724"/>
    </row>
    <row r="287" ht="14.25" customHeight="1">
      <c r="A287" s="323"/>
      <c r="B287" s="878"/>
      <c r="C287" s="878"/>
      <c r="D287" s="878"/>
      <c r="E287" s="878"/>
      <c r="F287" s="879"/>
    </row>
    <row r="288" ht="15.75" customHeight="1">
      <c r="A288" s="888" t="s">
        <v>1308</v>
      </c>
      <c r="B288" s="889" t="s">
        <v>566</v>
      </c>
      <c r="C288" s="775" t="s">
        <v>46</v>
      </c>
      <c r="D288" s="890"/>
      <c r="E288" s="890"/>
      <c r="F288" s="891"/>
    </row>
    <row r="289" ht="14.25" customHeight="1">
      <c r="A289" s="921" t="s">
        <v>1309</v>
      </c>
      <c r="B289" s="107"/>
      <c r="C289" s="107"/>
      <c r="D289" s="107"/>
      <c r="E289" s="107"/>
      <c r="F289" s="781"/>
      <c r="H289" s="909" t="s">
        <v>1167</v>
      </c>
    </row>
    <row r="290" ht="14.25" customHeight="1">
      <c r="A290" s="895"/>
      <c r="B290" s="896" t="s">
        <v>1168</v>
      </c>
      <c r="C290" s="643" t="s">
        <v>919</v>
      </c>
      <c r="D290" s="644" t="s">
        <v>920</v>
      </c>
      <c r="E290" s="897" t="s">
        <v>1169</v>
      </c>
      <c r="F290" s="729" t="s">
        <v>922</v>
      </c>
    </row>
    <row r="291" ht="14.25" customHeight="1">
      <c r="A291" s="174">
        <v>88264.0</v>
      </c>
      <c r="B291" s="600" t="s">
        <v>944</v>
      </c>
      <c r="C291" s="601" t="s">
        <v>924</v>
      </c>
      <c r="D291" s="693">
        <v>0.25</v>
      </c>
      <c r="E291" s="636">
        <v>25.54</v>
      </c>
      <c r="F291" s="898" t="str">
        <f t="shared" ref="F291:F292" si="18">TRUNC(D291*E291,2)</f>
        <v>6.38</v>
      </c>
    </row>
    <row r="292" ht="14.25" customHeight="1">
      <c r="A292" s="960">
        <v>88247.0</v>
      </c>
      <c r="B292" s="600" t="s">
        <v>1170</v>
      </c>
      <c r="C292" s="601" t="s">
        <v>924</v>
      </c>
      <c r="D292" s="693">
        <v>0.25</v>
      </c>
      <c r="E292" s="826">
        <v>21.0</v>
      </c>
      <c r="F292" s="898" t="str">
        <f t="shared" si="18"/>
        <v>5.25</v>
      </c>
    </row>
    <row r="293" ht="14.25" customHeight="1">
      <c r="A293" s="899"/>
      <c r="B293" s="900"/>
      <c r="C293" s="901"/>
      <c r="D293" s="902"/>
      <c r="E293" s="860" t="s">
        <v>927</v>
      </c>
      <c r="F293" s="910" t="str">
        <f>SUM(F291:F292)</f>
        <v>11.63</v>
      </c>
    </row>
    <row r="294" ht="14.25" customHeight="1">
      <c r="A294" s="606"/>
      <c r="B294" s="690" t="s">
        <v>936</v>
      </c>
      <c r="C294" s="595" t="s">
        <v>919</v>
      </c>
      <c r="D294" s="596" t="s">
        <v>920</v>
      </c>
      <c r="E294" s="597" t="s">
        <v>921</v>
      </c>
      <c r="F294" s="598" t="s">
        <v>922</v>
      </c>
    </row>
    <row r="295" ht="14.25" customHeight="1">
      <c r="A295" s="599" t="s">
        <v>966</v>
      </c>
      <c r="B295" s="961" t="s">
        <v>1310</v>
      </c>
      <c r="C295" s="601" t="s">
        <v>46</v>
      </c>
      <c r="D295" s="904">
        <v>1.0</v>
      </c>
      <c r="E295" s="826" t="str">
        <f>C303</f>
        <v>21.52</v>
      </c>
      <c r="F295" s="898" t="str">
        <f>TRUNC(D295*E295,2)</f>
        <v>21.52</v>
      </c>
    </row>
    <row r="296" ht="14.25" customHeight="1">
      <c r="A296" s="905"/>
      <c r="B296" s="906"/>
      <c r="C296" s="907"/>
      <c r="D296" s="908"/>
      <c r="E296" s="860" t="s">
        <v>927</v>
      </c>
      <c r="F296" s="689" t="str">
        <f>SUM(F295)</f>
        <v>21.52</v>
      </c>
    </row>
    <row r="297" ht="14.25" customHeight="1">
      <c r="A297" s="616"/>
      <c r="B297" s="808" t="s">
        <v>928</v>
      </c>
      <c r="C297" s="28"/>
      <c r="D297" s="28"/>
      <c r="E297" s="618"/>
      <c r="F297" s="869" t="str">
        <f>F293+F296</f>
        <v>33.15</v>
      </c>
    </row>
    <row r="298" ht="14.25" customHeight="1">
      <c r="A298" s="730"/>
      <c r="B298" s="731" t="s">
        <v>971</v>
      </c>
      <c r="C298" s="732"/>
      <c r="D298" s="732"/>
      <c r="E298" s="733"/>
      <c r="F298" s="734"/>
    </row>
    <row r="299" ht="14.25" customHeight="1">
      <c r="A299" s="735" t="s">
        <v>972</v>
      </c>
      <c r="B299" s="597" t="s">
        <v>973</v>
      </c>
      <c r="C299" s="736" t="s">
        <v>974</v>
      </c>
      <c r="D299" s="737" t="s">
        <v>975</v>
      </c>
      <c r="E299" s="41"/>
      <c r="F299" s="738" t="s">
        <v>976</v>
      </c>
    </row>
    <row r="300" ht="14.25" customHeight="1">
      <c r="A300" s="740">
        <v>44861.0</v>
      </c>
      <c r="B300" s="600" t="s">
        <v>1311</v>
      </c>
      <c r="C300" s="605">
        <v>21.52</v>
      </c>
      <c r="D300" s="347" t="s">
        <v>1312</v>
      </c>
      <c r="E300" s="41"/>
      <c r="F300" s="741" t="s">
        <v>1306</v>
      </c>
      <c r="I300" s="273" t="str">
        <f>19.61+53.52/28</f>
        <v>21.52</v>
      </c>
    </row>
    <row r="301" ht="14.25" customHeight="1">
      <c r="A301" s="740">
        <v>44856.0</v>
      </c>
      <c r="B301" s="600" t="s">
        <v>1313</v>
      </c>
      <c r="C301" s="605">
        <v>32.24</v>
      </c>
      <c r="D301" s="347" t="s">
        <v>1314</v>
      </c>
      <c r="E301" s="41"/>
      <c r="F301" s="917" t="s">
        <v>1315</v>
      </c>
      <c r="I301" s="204" t="s">
        <v>1316</v>
      </c>
    </row>
    <row r="302" ht="14.25" customHeight="1">
      <c r="A302" s="740">
        <v>44881.0</v>
      </c>
      <c r="B302" s="600" t="s">
        <v>1317</v>
      </c>
      <c r="C302" s="605">
        <v>19.3</v>
      </c>
      <c r="D302" s="347" t="s">
        <v>1318</v>
      </c>
      <c r="E302" s="41"/>
      <c r="F302" s="741" t="s">
        <v>1319</v>
      </c>
      <c r="I302" s="273" t="s">
        <v>1320</v>
      </c>
    </row>
    <row r="303" ht="14.25" customHeight="1">
      <c r="A303" s="720"/>
      <c r="B303" s="721" t="s">
        <v>986</v>
      </c>
      <c r="C303" s="722" t="str">
        <f>MEDIAN(C300:C302)</f>
        <v>21.52</v>
      </c>
      <c r="D303" s="723"/>
      <c r="E303" s="712"/>
      <c r="F303" s="724"/>
    </row>
    <row r="304" ht="14.25" customHeight="1">
      <c r="A304" s="323"/>
      <c r="B304" s="878"/>
      <c r="C304" s="878"/>
      <c r="D304" s="878"/>
      <c r="E304" s="878"/>
      <c r="F304" s="879"/>
    </row>
    <row r="305" ht="14.25" customHeight="1">
      <c r="A305" s="888" t="s">
        <v>357</v>
      </c>
      <c r="B305" s="962" t="s">
        <v>358</v>
      </c>
      <c r="C305" s="775" t="s">
        <v>46</v>
      </c>
      <c r="D305" s="890"/>
      <c r="E305" s="890"/>
      <c r="F305" s="891"/>
      <c r="H305" s="82"/>
      <c r="I305" s="892" t="s">
        <v>1321</v>
      </c>
    </row>
    <row r="306" ht="14.25" customHeight="1">
      <c r="A306" s="921" t="s">
        <v>1322</v>
      </c>
      <c r="B306" s="107"/>
      <c r="C306" s="107"/>
      <c r="D306" s="107"/>
      <c r="E306" s="107"/>
      <c r="F306" s="781"/>
      <c r="H306" s="909" t="s">
        <v>1167</v>
      </c>
    </row>
    <row r="307" ht="14.25" customHeight="1">
      <c r="A307" s="895"/>
      <c r="B307" s="943" t="s">
        <v>1168</v>
      </c>
      <c r="C307" s="643" t="s">
        <v>919</v>
      </c>
      <c r="D307" s="644" t="s">
        <v>920</v>
      </c>
      <c r="E307" s="897" t="s">
        <v>1169</v>
      </c>
      <c r="F307" s="729" t="s">
        <v>922</v>
      </c>
    </row>
    <row r="308" ht="14.25" customHeight="1">
      <c r="A308" s="691">
        <v>88264.0</v>
      </c>
      <c r="B308" s="600" t="s">
        <v>944</v>
      </c>
      <c r="C308" s="809" t="s">
        <v>924</v>
      </c>
      <c r="D308" s="693">
        <v>4.0</v>
      </c>
      <c r="E308" s="636">
        <v>25.54</v>
      </c>
      <c r="F308" s="898" t="str">
        <f t="shared" ref="F308:F309" si="19">TRUNC(D308*E308,2)</f>
        <v>102.16</v>
      </c>
    </row>
    <row r="309" ht="14.25" customHeight="1">
      <c r="A309" s="599">
        <v>88247.0</v>
      </c>
      <c r="B309" s="600" t="s">
        <v>1170</v>
      </c>
      <c r="C309" s="809" t="s">
        <v>924</v>
      </c>
      <c r="D309" s="693">
        <v>4.0</v>
      </c>
      <c r="E309" s="826">
        <v>21.0</v>
      </c>
      <c r="F309" s="898" t="str">
        <f t="shared" si="19"/>
        <v>84.00</v>
      </c>
    </row>
    <row r="310" ht="14.25" customHeight="1">
      <c r="A310" s="899"/>
      <c r="B310" s="900"/>
      <c r="C310" s="901"/>
      <c r="D310" s="902"/>
      <c r="E310" s="860" t="s">
        <v>927</v>
      </c>
      <c r="F310" s="910" t="str">
        <f>SUM(F308:F309)</f>
        <v>186.16</v>
      </c>
    </row>
    <row r="311" ht="14.25" customHeight="1">
      <c r="A311" s="606"/>
      <c r="B311" s="690" t="s">
        <v>936</v>
      </c>
      <c r="C311" s="595" t="s">
        <v>919</v>
      </c>
      <c r="D311" s="596" t="s">
        <v>920</v>
      </c>
      <c r="E311" s="597" t="s">
        <v>921</v>
      </c>
      <c r="F311" s="598" t="s">
        <v>922</v>
      </c>
    </row>
    <row r="312" ht="14.25" customHeight="1">
      <c r="A312" s="963">
        <v>43093.0</v>
      </c>
      <c r="B312" s="600" t="s">
        <v>1323</v>
      </c>
      <c r="C312" s="964" t="s">
        <v>46</v>
      </c>
      <c r="D312" s="904">
        <v>1.0</v>
      </c>
      <c r="E312" s="826">
        <v>284.08</v>
      </c>
      <c r="F312" s="898" t="str">
        <f t="shared" ref="F312:F313" si="20">TRUNC(D312*E312,2)</f>
        <v>284.08</v>
      </c>
    </row>
    <row r="313" ht="14.25" customHeight="1">
      <c r="A313" s="634">
        <v>3380.0</v>
      </c>
      <c r="B313" s="600" t="s">
        <v>1324</v>
      </c>
      <c r="C313" s="601" t="s">
        <v>46</v>
      </c>
      <c r="D313" s="904">
        <v>1.0</v>
      </c>
      <c r="E313" s="826">
        <v>66.9</v>
      </c>
      <c r="F313" s="898" t="str">
        <f t="shared" si="20"/>
        <v>66.90</v>
      </c>
    </row>
    <row r="314" ht="14.25" customHeight="1">
      <c r="A314" s="905"/>
      <c r="B314" s="906"/>
      <c r="C314" s="907"/>
      <c r="D314" s="908"/>
      <c r="E314" s="860" t="s">
        <v>927</v>
      </c>
      <c r="F314" s="689" t="str">
        <f>SUM(F312:F313)</f>
        <v>350.98</v>
      </c>
    </row>
    <row r="315" ht="14.25" customHeight="1">
      <c r="A315" s="616"/>
      <c r="B315" s="808" t="s">
        <v>928</v>
      </c>
      <c r="C315" s="28"/>
      <c r="D315" s="28"/>
      <c r="E315" s="618"/>
      <c r="F315" s="869" t="str">
        <f>F310+F314</f>
        <v>537.14</v>
      </c>
    </row>
    <row r="316" ht="14.25" customHeight="1"/>
    <row r="317" ht="14.25" customHeight="1">
      <c r="A317" s="888" t="s">
        <v>388</v>
      </c>
      <c r="B317" s="889" t="s">
        <v>389</v>
      </c>
      <c r="C317" s="775" t="s">
        <v>46</v>
      </c>
      <c r="D317" s="890"/>
      <c r="E317" s="890"/>
      <c r="F317" s="891"/>
      <c r="H317" s="82"/>
    </row>
    <row r="318" ht="14.25" customHeight="1">
      <c r="A318" s="921" t="s">
        <v>1325</v>
      </c>
      <c r="B318" s="107"/>
      <c r="C318" s="107"/>
      <c r="D318" s="107"/>
      <c r="E318" s="107"/>
      <c r="F318" s="781"/>
      <c r="H318" s="909" t="s">
        <v>1167</v>
      </c>
    </row>
    <row r="319" ht="14.25" customHeight="1">
      <c r="A319" s="895"/>
      <c r="B319" s="896" t="s">
        <v>1168</v>
      </c>
      <c r="C319" s="643" t="s">
        <v>919</v>
      </c>
      <c r="D319" s="644" t="s">
        <v>920</v>
      </c>
      <c r="E319" s="897" t="s">
        <v>1169</v>
      </c>
      <c r="F319" s="729" t="s">
        <v>922</v>
      </c>
    </row>
    <row r="320" ht="14.25" customHeight="1">
      <c r="A320" s="691">
        <v>88264.0</v>
      </c>
      <c r="B320" s="600" t="s">
        <v>944</v>
      </c>
      <c r="C320" s="601" t="s">
        <v>924</v>
      </c>
      <c r="D320" s="913">
        <v>0.6</v>
      </c>
      <c r="E320" s="636">
        <v>25.54</v>
      </c>
      <c r="F320" s="914" t="str">
        <f t="shared" ref="F320:F321" si="21">TRUNC(D320*E320,2)</f>
        <v>15.32</v>
      </c>
    </row>
    <row r="321" ht="14.25" customHeight="1">
      <c r="A321" s="599">
        <v>88247.0</v>
      </c>
      <c r="B321" s="600" t="s">
        <v>1170</v>
      </c>
      <c r="C321" s="601" t="s">
        <v>924</v>
      </c>
      <c r="D321" s="913">
        <v>0.6</v>
      </c>
      <c r="E321" s="826">
        <v>21.0</v>
      </c>
      <c r="F321" s="914" t="str">
        <f t="shared" si="21"/>
        <v>12.60</v>
      </c>
    </row>
    <row r="322" ht="14.25" customHeight="1">
      <c r="A322" s="899"/>
      <c r="B322" s="900"/>
      <c r="C322" s="901"/>
      <c r="D322" s="902"/>
      <c r="E322" s="860" t="s">
        <v>927</v>
      </c>
      <c r="F322" s="903" t="str">
        <f>SUM(F320:F321)</f>
        <v>27.92</v>
      </c>
    </row>
    <row r="323" ht="14.25" customHeight="1">
      <c r="A323" s="606"/>
      <c r="B323" s="690" t="s">
        <v>936</v>
      </c>
      <c r="C323" s="595" t="s">
        <v>919</v>
      </c>
      <c r="D323" s="596" t="s">
        <v>920</v>
      </c>
      <c r="E323" s="597" t="s">
        <v>921</v>
      </c>
      <c r="F323" s="598" t="s">
        <v>922</v>
      </c>
    </row>
    <row r="324" ht="14.25" customHeight="1">
      <c r="A324" s="599" t="s">
        <v>966</v>
      </c>
      <c r="B324" s="635" t="s">
        <v>389</v>
      </c>
      <c r="C324" s="601" t="s">
        <v>46</v>
      </c>
      <c r="D324" s="915">
        <v>1.0</v>
      </c>
      <c r="E324" s="916" t="str">
        <f>C332</f>
        <v>321.15</v>
      </c>
      <c r="F324" s="914" t="str">
        <f>TRUNC(D324*E324,2)</f>
        <v>321.15</v>
      </c>
    </row>
    <row r="325" ht="14.25" customHeight="1">
      <c r="A325" s="905"/>
      <c r="B325" s="906"/>
      <c r="C325" s="907"/>
      <c r="D325" s="908"/>
      <c r="E325" s="860" t="s">
        <v>927</v>
      </c>
      <c r="F325" s="782" t="str">
        <f>SUM(F324)</f>
        <v>321.15</v>
      </c>
    </row>
    <row r="326" ht="14.25" customHeight="1">
      <c r="A326" s="616"/>
      <c r="B326" s="808" t="s">
        <v>928</v>
      </c>
      <c r="C326" s="28"/>
      <c r="D326" s="28"/>
      <c r="E326" s="618"/>
      <c r="F326" s="619" t="str">
        <f>F322+F325</f>
        <v>349.07</v>
      </c>
    </row>
    <row r="327" ht="14.25" customHeight="1">
      <c r="A327" s="730"/>
      <c r="B327" s="911" t="s">
        <v>971</v>
      </c>
      <c r="C327" s="107"/>
      <c r="D327" s="107"/>
      <c r="E327" s="555"/>
      <c r="F327" s="734"/>
    </row>
    <row r="328" ht="14.25" customHeight="1">
      <c r="A328" s="735" t="s">
        <v>972</v>
      </c>
      <c r="B328" s="597" t="s">
        <v>973</v>
      </c>
      <c r="C328" s="736" t="s">
        <v>974</v>
      </c>
      <c r="D328" s="737" t="s">
        <v>975</v>
      </c>
      <c r="E328" s="41"/>
      <c r="F328" s="738" t="s">
        <v>976</v>
      </c>
    </row>
    <row r="329" ht="14.25" customHeight="1">
      <c r="A329" s="740">
        <v>44869.0</v>
      </c>
      <c r="B329" s="600" t="s">
        <v>1274</v>
      </c>
      <c r="C329" s="605">
        <v>298.05</v>
      </c>
      <c r="D329" s="347" t="s">
        <v>1326</v>
      </c>
      <c r="E329" s="41"/>
      <c r="F329" s="917" t="s">
        <v>1327</v>
      </c>
      <c r="I329" s="237" t="s">
        <v>1328</v>
      </c>
    </row>
    <row r="330" ht="14.25" customHeight="1">
      <c r="A330" s="740">
        <v>44873.0</v>
      </c>
      <c r="B330" s="600" t="s">
        <v>1329</v>
      </c>
      <c r="C330" s="605">
        <v>321.15</v>
      </c>
      <c r="D330" s="347" t="s">
        <v>1330</v>
      </c>
      <c r="E330" s="41"/>
      <c r="F330" s="917" t="s">
        <v>1319</v>
      </c>
      <c r="I330" s="237" t="s">
        <v>1331</v>
      </c>
    </row>
    <row r="331" ht="14.25" customHeight="1">
      <c r="A331" s="740">
        <v>44873.0</v>
      </c>
      <c r="B331" s="600" t="s">
        <v>1332</v>
      </c>
      <c r="C331" s="605">
        <v>367.77</v>
      </c>
      <c r="D331" s="347" t="s">
        <v>1333</v>
      </c>
      <c r="E331" s="41"/>
      <c r="F331" s="917" t="s">
        <v>1334</v>
      </c>
      <c r="I331" s="237" t="s">
        <v>1335</v>
      </c>
    </row>
    <row r="332" ht="14.25" customHeight="1">
      <c r="A332" s="720"/>
      <c r="B332" s="721" t="s">
        <v>986</v>
      </c>
      <c r="C332" s="722" t="str">
        <f>MEDIAN(C329:C331)</f>
        <v>321.15</v>
      </c>
      <c r="D332" s="723"/>
      <c r="E332" s="712"/>
      <c r="F332" s="724"/>
      <c r="I332" s="965"/>
    </row>
    <row r="333" ht="14.25" customHeight="1"/>
    <row r="334" ht="14.25" customHeight="1">
      <c r="A334" s="888" t="s">
        <v>396</v>
      </c>
      <c r="B334" s="889" t="s">
        <v>397</v>
      </c>
      <c r="C334" s="775" t="s">
        <v>46</v>
      </c>
      <c r="D334" s="890"/>
      <c r="E334" s="890"/>
      <c r="F334" s="891"/>
    </row>
    <row r="335" ht="15.0" customHeight="1">
      <c r="A335" s="893" t="s">
        <v>1336</v>
      </c>
      <c r="B335" s="107"/>
      <c r="C335" s="107"/>
      <c r="D335" s="107"/>
      <c r="E335" s="107"/>
      <c r="F335" s="781"/>
      <c r="H335" s="909" t="s">
        <v>1167</v>
      </c>
    </row>
    <row r="336" ht="14.25" customHeight="1">
      <c r="A336" s="895"/>
      <c r="B336" s="896" t="s">
        <v>1168</v>
      </c>
      <c r="C336" s="643" t="s">
        <v>919</v>
      </c>
      <c r="D336" s="644" t="s">
        <v>920</v>
      </c>
      <c r="E336" s="897" t="s">
        <v>1169</v>
      </c>
      <c r="F336" s="729" t="s">
        <v>922</v>
      </c>
    </row>
    <row r="337" ht="14.25" customHeight="1">
      <c r="A337" s="691">
        <v>88264.0</v>
      </c>
      <c r="B337" s="600" t="s">
        <v>944</v>
      </c>
      <c r="C337" s="601" t="s">
        <v>924</v>
      </c>
      <c r="D337" s="693">
        <v>0.05</v>
      </c>
      <c r="E337" s="636">
        <v>25.54</v>
      </c>
      <c r="F337" s="898" t="str">
        <f t="shared" ref="F337:F338" si="22">TRUNC(D337*E337,2)</f>
        <v>1.27</v>
      </c>
    </row>
    <row r="338" ht="14.25" customHeight="1">
      <c r="A338" s="599">
        <v>88247.0</v>
      </c>
      <c r="B338" s="600" t="s">
        <v>1170</v>
      </c>
      <c r="C338" s="601" t="s">
        <v>924</v>
      </c>
      <c r="D338" s="693">
        <v>0.05</v>
      </c>
      <c r="E338" s="826">
        <v>21.0</v>
      </c>
      <c r="F338" s="898" t="str">
        <f t="shared" si="22"/>
        <v>1.05</v>
      </c>
    </row>
    <row r="339" ht="14.25" customHeight="1">
      <c r="A339" s="899"/>
      <c r="B339" s="900"/>
      <c r="C339" s="901"/>
      <c r="D339" s="902"/>
      <c r="E339" s="860" t="s">
        <v>927</v>
      </c>
      <c r="F339" s="910" t="str">
        <f>SUM(F337:F338)</f>
        <v>2.32</v>
      </c>
    </row>
    <row r="340" ht="14.25" customHeight="1">
      <c r="A340" s="606"/>
      <c r="B340" s="690" t="s">
        <v>936</v>
      </c>
      <c r="C340" s="595" t="s">
        <v>919</v>
      </c>
      <c r="D340" s="596" t="s">
        <v>920</v>
      </c>
      <c r="E340" s="597" t="s">
        <v>921</v>
      </c>
      <c r="F340" s="598" t="s">
        <v>922</v>
      </c>
    </row>
    <row r="341" ht="14.25" customHeight="1">
      <c r="A341" s="599" t="s">
        <v>966</v>
      </c>
      <c r="B341" s="600" t="s">
        <v>397</v>
      </c>
      <c r="C341" s="601" t="s">
        <v>46</v>
      </c>
      <c r="D341" s="904">
        <v>1.0</v>
      </c>
      <c r="E341" s="826" t="str">
        <f>C349</f>
        <v>8.30</v>
      </c>
      <c r="F341" s="898" t="str">
        <f>TRUNC(D341*E341,2)</f>
        <v>8.30</v>
      </c>
    </row>
    <row r="342" ht="14.25" customHeight="1">
      <c r="A342" s="905"/>
      <c r="B342" s="906"/>
      <c r="C342" s="907"/>
      <c r="D342" s="908"/>
      <c r="E342" s="860" t="s">
        <v>927</v>
      </c>
      <c r="F342" s="689" t="str">
        <f>SUM(F341)</f>
        <v>8.30</v>
      </c>
    </row>
    <row r="343" ht="14.25" customHeight="1">
      <c r="A343" s="616"/>
      <c r="B343" s="808" t="s">
        <v>928</v>
      </c>
      <c r="C343" s="28"/>
      <c r="D343" s="28"/>
      <c r="E343" s="618"/>
      <c r="F343" s="869" t="str">
        <f>F339+F342</f>
        <v>10.62</v>
      </c>
    </row>
    <row r="344" ht="14.25" customHeight="1">
      <c r="A344" s="730"/>
      <c r="B344" s="911" t="s">
        <v>971</v>
      </c>
      <c r="C344" s="107"/>
      <c r="D344" s="107"/>
      <c r="E344" s="555"/>
      <c r="F344" s="734"/>
    </row>
    <row r="345" ht="14.25" customHeight="1">
      <c r="A345" s="735" t="s">
        <v>972</v>
      </c>
      <c r="B345" s="597" t="s">
        <v>973</v>
      </c>
      <c r="C345" s="736" t="s">
        <v>974</v>
      </c>
      <c r="D345" s="737" t="s">
        <v>975</v>
      </c>
      <c r="E345" s="41"/>
      <c r="F345" s="738" t="s">
        <v>976</v>
      </c>
    </row>
    <row r="346" ht="14.25" customHeight="1">
      <c r="A346" s="740">
        <v>44861.0</v>
      </c>
      <c r="B346" s="600" t="s">
        <v>1188</v>
      </c>
      <c r="C346" s="605">
        <v>7.23</v>
      </c>
      <c r="D346" s="347" t="s">
        <v>1189</v>
      </c>
      <c r="E346" s="41"/>
      <c r="F346" s="917" t="s">
        <v>1302</v>
      </c>
      <c r="I346" s="204" t="s">
        <v>1337</v>
      </c>
    </row>
    <row r="347" ht="14.25" customHeight="1">
      <c r="A347" s="740">
        <v>44869.0</v>
      </c>
      <c r="B347" s="600" t="s">
        <v>1296</v>
      </c>
      <c r="C347" s="605">
        <v>8.3</v>
      </c>
      <c r="D347" s="347" t="s">
        <v>1176</v>
      </c>
      <c r="E347" s="41"/>
      <c r="F347" s="917" t="s">
        <v>1338</v>
      </c>
    </row>
    <row r="348" ht="14.25" customHeight="1">
      <c r="A348" s="740">
        <v>44887.0</v>
      </c>
      <c r="B348" s="600" t="s">
        <v>1214</v>
      </c>
      <c r="C348" s="605">
        <v>20.03</v>
      </c>
      <c r="D348" s="347" t="s">
        <v>1222</v>
      </c>
      <c r="E348" s="41"/>
      <c r="F348" s="741" t="s">
        <v>1339</v>
      </c>
      <c r="I348" s="204" t="s">
        <v>1340</v>
      </c>
    </row>
    <row r="349" ht="14.25" customHeight="1">
      <c r="A349" s="720"/>
      <c r="B349" s="721" t="s">
        <v>986</v>
      </c>
      <c r="C349" s="912" t="str">
        <f>MEDIAN(C346:C348)</f>
        <v>8.30</v>
      </c>
      <c r="D349" s="723"/>
      <c r="E349" s="712"/>
      <c r="F349" s="724"/>
    </row>
    <row r="350" ht="14.25" customHeight="1"/>
    <row r="351" ht="14.25" customHeight="1">
      <c r="A351" s="657" t="s">
        <v>437</v>
      </c>
      <c r="B351" s="966" t="s">
        <v>1341</v>
      </c>
      <c r="C351" s="589" t="s">
        <v>46</v>
      </c>
      <c r="D351" s="967"/>
      <c r="E351" s="967"/>
      <c r="F351" s="968"/>
    </row>
    <row r="352" ht="14.25" customHeight="1">
      <c r="A352" s="969" t="s">
        <v>1290</v>
      </c>
      <c r="B352" s="127"/>
      <c r="C352" s="127"/>
      <c r="D352" s="127"/>
      <c r="E352" s="127"/>
      <c r="F352" s="128"/>
      <c r="H352" s="909" t="s">
        <v>1167</v>
      </c>
    </row>
    <row r="353" ht="14.25" customHeight="1">
      <c r="A353" s="970"/>
      <c r="B353" s="971" t="s">
        <v>1168</v>
      </c>
      <c r="C353" s="972" t="s">
        <v>919</v>
      </c>
      <c r="D353" s="973" t="s">
        <v>920</v>
      </c>
      <c r="E353" s="974" t="s">
        <v>1169</v>
      </c>
      <c r="F353" s="975" t="s">
        <v>922</v>
      </c>
    </row>
    <row r="354" ht="14.25" customHeight="1">
      <c r="A354" s="691">
        <v>88264.0</v>
      </c>
      <c r="B354" s="600" t="s">
        <v>944</v>
      </c>
      <c r="C354" s="601" t="s">
        <v>924</v>
      </c>
      <c r="D354" s="693">
        <v>0.346</v>
      </c>
      <c r="E354" s="636">
        <v>25.54</v>
      </c>
      <c r="F354" s="898" t="str">
        <f t="shared" ref="F354:F355" si="23">TRUNC(D354*E354,2)</f>
        <v>8.83</v>
      </c>
    </row>
    <row r="355" ht="14.25" customHeight="1">
      <c r="A355" s="599">
        <v>88247.0</v>
      </c>
      <c r="B355" s="600" t="s">
        <v>1170</v>
      </c>
      <c r="C355" s="601" t="s">
        <v>924</v>
      </c>
      <c r="D355" s="693">
        <v>0.346</v>
      </c>
      <c r="E355" s="826">
        <v>21.0</v>
      </c>
      <c r="F355" s="898" t="str">
        <f t="shared" si="23"/>
        <v>7.26</v>
      </c>
    </row>
    <row r="356" ht="14.25" customHeight="1">
      <c r="A356" s="899"/>
      <c r="B356" s="900"/>
      <c r="C356" s="901"/>
      <c r="D356" s="902"/>
      <c r="E356" s="860" t="s">
        <v>927</v>
      </c>
      <c r="F356" s="910" t="str">
        <f>SUM(F354:F355)</f>
        <v>16.09</v>
      </c>
    </row>
    <row r="357" ht="14.25" customHeight="1">
      <c r="A357" s="606"/>
      <c r="B357" s="690" t="s">
        <v>936</v>
      </c>
      <c r="C357" s="595" t="s">
        <v>919</v>
      </c>
      <c r="D357" s="596" t="s">
        <v>920</v>
      </c>
      <c r="E357" s="597" t="s">
        <v>921</v>
      </c>
      <c r="F357" s="598" t="s">
        <v>922</v>
      </c>
    </row>
    <row r="358" ht="14.25" customHeight="1">
      <c r="A358" s="599">
        <v>39772.0</v>
      </c>
      <c r="B358" s="600" t="s">
        <v>1342</v>
      </c>
      <c r="C358" s="601" t="s">
        <v>46</v>
      </c>
      <c r="D358" s="904">
        <v>1.0</v>
      </c>
      <c r="E358" s="826">
        <v>82.65</v>
      </c>
      <c r="F358" s="898" t="str">
        <f>TRUNC(D358*E358,2)</f>
        <v>82.65</v>
      </c>
    </row>
    <row r="359" ht="14.25" customHeight="1">
      <c r="A359" s="976"/>
      <c r="B359" s="398"/>
      <c r="C359" s="901"/>
      <c r="D359" s="902"/>
      <c r="E359" s="609" t="s">
        <v>927</v>
      </c>
      <c r="F359" s="610" t="str">
        <f>SUM(F358)</f>
        <v>82.65</v>
      </c>
    </row>
    <row r="360" ht="14.25" customHeight="1">
      <c r="A360" s="611"/>
      <c r="B360" s="612" t="s">
        <v>928</v>
      </c>
      <c r="C360" s="613"/>
      <c r="D360" s="613"/>
      <c r="E360" s="614"/>
      <c r="F360" s="615" t="str">
        <f>F356+F359</f>
        <v>98.74</v>
      </c>
    </row>
    <row r="361" ht="14.25" customHeight="1"/>
    <row r="362" ht="14.25" customHeight="1">
      <c r="A362" s="657" t="s">
        <v>425</v>
      </c>
      <c r="B362" s="966" t="s">
        <v>1343</v>
      </c>
      <c r="C362" s="589" t="s">
        <v>46</v>
      </c>
      <c r="D362" s="967"/>
      <c r="E362" s="967"/>
      <c r="F362" s="968"/>
      <c r="H362" s="82"/>
      <c r="I362" s="977"/>
    </row>
    <row r="363" ht="14.25" customHeight="1">
      <c r="A363" s="978" t="s">
        <v>1344</v>
      </c>
      <c r="B363" s="561"/>
      <c r="C363" s="561"/>
      <c r="D363" s="561"/>
      <c r="E363" s="561"/>
      <c r="F363" s="124"/>
      <c r="H363" s="909" t="s">
        <v>1167</v>
      </c>
    </row>
    <row r="364" ht="14.25" customHeight="1">
      <c r="A364" s="895"/>
      <c r="B364" s="896" t="s">
        <v>1168</v>
      </c>
      <c r="C364" s="643" t="s">
        <v>919</v>
      </c>
      <c r="D364" s="644" t="s">
        <v>920</v>
      </c>
      <c r="E364" s="897" t="s">
        <v>1169</v>
      </c>
      <c r="F364" s="729" t="s">
        <v>922</v>
      </c>
    </row>
    <row r="365" ht="14.25" customHeight="1">
      <c r="A365" s="691">
        <v>88264.0</v>
      </c>
      <c r="B365" s="600" t="s">
        <v>944</v>
      </c>
      <c r="C365" s="601" t="s">
        <v>924</v>
      </c>
      <c r="D365" s="693">
        <v>0.4</v>
      </c>
      <c r="E365" s="636">
        <v>25.54</v>
      </c>
      <c r="F365" s="898" t="str">
        <f t="shared" ref="F365:F366" si="24">TRUNC(D365*E365,2)</f>
        <v>10.21</v>
      </c>
    </row>
    <row r="366" ht="14.25" customHeight="1">
      <c r="A366" s="599">
        <v>88247.0</v>
      </c>
      <c r="B366" s="600" t="s">
        <v>1170</v>
      </c>
      <c r="C366" s="601" t="s">
        <v>924</v>
      </c>
      <c r="D366" s="693">
        <v>0.4</v>
      </c>
      <c r="E366" s="826">
        <v>21.0</v>
      </c>
      <c r="F366" s="898" t="str">
        <f t="shared" si="24"/>
        <v>8.40</v>
      </c>
    </row>
    <row r="367" ht="14.25" customHeight="1">
      <c r="A367" s="899"/>
      <c r="B367" s="900"/>
      <c r="C367" s="901"/>
      <c r="D367" s="902"/>
      <c r="E367" s="860" t="s">
        <v>927</v>
      </c>
      <c r="F367" s="910" t="str">
        <f>SUM(F365:F366)</f>
        <v>18.61</v>
      </c>
    </row>
    <row r="368" ht="14.25" customHeight="1">
      <c r="A368" s="606"/>
      <c r="B368" s="690" t="s">
        <v>936</v>
      </c>
      <c r="C368" s="595" t="s">
        <v>919</v>
      </c>
      <c r="D368" s="596" t="s">
        <v>920</v>
      </c>
      <c r="E368" s="597" t="s">
        <v>921</v>
      </c>
      <c r="F368" s="598" t="s">
        <v>922</v>
      </c>
    </row>
    <row r="369" ht="14.25" customHeight="1">
      <c r="A369" s="599" t="s">
        <v>966</v>
      </c>
      <c r="B369" s="961" t="s">
        <v>1345</v>
      </c>
      <c r="C369" s="601" t="s">
        <v>46</v>
      </c>
      <c r="D369" s="904">
        <v>1.0</v>
      </c>
      <c r="E369" s="826" t="str">
        <f>C377</f>
        <v>291.76</v>
      </c>
      <c r="F369" s="898" t="str">
        <f>TRUNC(D369*E369,2)</f>
        <v>291.76</v>
      </c>
    </row>
    <row r="370" ht="14.25" customHeight="1">
      <c r="A370" s="976"/>
      <c r="B370" s="398"/>
      <c r="C370" s="901"/>
      <c r="D370" s="902"/>
      <c r="E370" s="609" t="s">
        <v>927</v>
      </c>
      <c r="F370" s="610" t="str">
        <f>SUM(F369)</f>
        <v>291.76</v>
      </c>
    </row>
    <row r="371" ht="14.25" customHeight="1">
      <c r="A371" s="611"/>
      <c r="B371" s="612" t="s">
        <v>928</v>
      </c>
      <c r="C371" s="613"/>
      <c r="D371" s="613"/>
      <c r="E371" s="614"/>
      <c r="F371" s="615" t="str">
        <f>F367+F370</f>
        <v>310.37</v>
      </c>
    </row>
    <row r="372" ht="14.25" customHeight="1">
      <c r="A372" s="730"/>
      <c r="B372" s="731" t="s">
        <v>971</v>
      </c>
      <c r="C372" s="732"/>
      <c r="D372" s="732"/>
      <c r="E372" s="733"/>
      <c r="F372" s="734"/>
    </row>
    <row r="373" ht="14.25" customHeight="1">
      <c r="A373" s="735" t="s">
        <v>972</v>
      </c>
      <c r="B373" s="597" t="s">
        <v>973</v>
      </c>
      <c r="C373" s="736" t="s">
        <v>974</v>
      </c>
      <c r="D373" s="737" t="s">
        <v>975</v>
      </c>
      <c r="E373" s="41"/>
      <c r="F373" s="738" t="s">
        <v>976</v>
      </c>
    </row>
    <row r="374" ht="14.25" customHeight="1">
      <c r="A374" s="740">
        <v>44868.0</v>
      </c>
      <c r="B374" s="600" t="s">
        <v>1346</v>
      </c>
      <c r="C374" s="605">
        <v>321.64</v>
      </c>
      <c r="D374" s="347" t="s">
        <v>1347</v>
      </c>
      <c r="E374" s="41"/>
      <c r="F374" s="917" t="s">
        <v>1348</v>
      </c>
      <c r="I374" s="211" t="s">
        <v>1349</v>
      </c>
    </row>
    <row r="375" ht="14.25" customHeight="1">
      <c r="A375" s="740">
        <v>44873.0</v>
      </c>
      <c r="B375" s="600" t="s">
        <v>1350</v>
      </c>
      <c r="C375" s="605">
        <v>291.76</v>
      </c>
      <c r="D375" s="347" t="s">
        <v>1218</v>
      </c>
      <c r="E375" s="41"/>
      <c r="F375" s="917" t="s">
        <v>1219</v>
      </c>
      <c r="I375" s="237" t="s">
        <v>1351</v>
      </c>
    </row>
    <row r="376" ht="14.25" customHeight="1">
      <c r="A376" s="740">
        <v>44873.0</v>
      </c>
      <c r="B376" s="600" t="s">
        <v>1214</v>
      </c>
      <c r="C376" s="605">
        <v>255.75</v>
      </c>
      <c r="D376" s="347" t="s">
        <v>1222</v>
      </c>
      <c r="E376" s="41"/>
      <c r="F376" s="917" t="s">
        <v>1339</v>
      </c>
      <c r="I376" s="237" t="s">
        <v>1352</v>
      </c>
    </row>
    <row r="377" ht="14.25" customHeight="1">
      <c r="A377" s="720"/>
      <c r="B377" s="721" t="s">
        <v>986</v>
      </c>
      <c r="C377" s="722" t="str">
        <f>MEDIAN(C374:C376)</f>
        <v>291.76</v>
      </c>
      <c r="D377" s="723"/>
      <c r="E377" s="712"/>
      <c r="F377" s="724"/>
    </row>
    <row r="378" ht="14.25" customHeight="1"/>
    <row r="379" ht="28.5" customHeight="1">
      <c r="A379" s="657" t="s">
        <v>443</v>
      </c>
      <c r="B379" s="966" t="s">
        <v>1353</v>
      </c>
      <c r="C379" s="589" t="s">
        <v>46</v>
      </c>
      <c r="D379" s="967"/>
      <c r="E379" s="967"/>
      <c r="F379" s="968"/>
    </row>
    <row r="380" ht="15.0" customHeight="1">
      <c r="A380" s="978" t="s">
        <v>1354</v>
      </c>
      <c r="B380" s="561"/>
      <c r="C380" s="561"/>
      <c r="D380" s="561"/>
      <c r="E380" s="561"/>
      <c r="F380" s="124"/>
      <c r="H380" s="909" t="s">
        <v>1167</v>
      </c>
    </row>
    <row r="381" ht="14.25" customHeight="1">
      <c r="A381" s="895"/>
      <c r="B381" s="896" t="s">
        <v>1168</v>
      </c>
      <c r="C381" s="643" t="s">
        <v>919</v>
      </c>
      <c r="D381" s="644" t="s">
        <v>920</v>
      </c>
      <c r="E381" s="897" t="s">
        <v>1169</v>
      </c>
      <c r="F381" s="729" t="s">
        <v>922</v>
      </c>
    </row>
    <row r="382" ht="14.25" customHeight="1">
      <c r="A382" s="174">
        <v>88264.0</v>
      </c>
      <c r="B382" s="600" t="s">
        <v>944</v>
      </c>
      <c r="C382" s="601" t="s">
        <v>924</v>
      </c>
      <c r="D382" s="693">
        <v>0.3</v>
      </c>
      <c r="E382" s="636">
        <v>25.54</v>
      </c>
      <c r="F382" s="898" t="str">
        <f t="shared" ref="F382:F383" si="25">TRUNC(D382*E382,2)</f>
        <v>7.66</v>
      </c>
    </row>
    <row r="383" ht="14.25" customHeight="1">
      <c r="A383" s="960">
        <v>88247.0</v>
      </c>
      <c r="B383" s="600" t="s">
        <v>1170</v>
      </c>
      <c r="C383" s="601" t="s">
        <v>924</v>
      </c>
      <c r="D383" s="693">
        <v>0.3</v>
      </c>
      <c r="E383" s="826">
        <v>21.0</v>
      </c>
      <c r="F383" s="898" t="str">
        <f t="shared" si="25"/>
        <v>6.30</v>
      </c>
    </row>
    <row r="384" ht="14.25" customHeight="1">
      <c r="A384" s="899"/>
      <c r="B384" s="900"/>
      <c r="C384" s="901"/>
      <c r="D384" s="902"/>
      <c r="E384" s="860" t="s">
        <v>927</v>
      </c>
      <c r="F384" s="910" t="str">
        <f>SUM(F382:F383)</f>
        <v>13.96</v>
      </c>
    </row>
    <row r="385" ht="14.25" customHeight="1">
      <c r="A385" s="606"/>
      <c r="B385" s="690" t="s">
        <v>936</v>
      </c>
      <c r="C385" s="595" t="s">
        <v>919</v>
      </c>
      <c r="D385" s="596" t="s">
        <v>920</v>
      </c>
      <c r="E385" s="597" t="s">
        <v>921</v>
      </c>
      <c r="F385" s="598" t="s">
        <v>922</v>
      </c>
    </row>
    <row r="386" ht="14.25" customHeight="1">
      <c r="A386" s="599">
        <v>39465.0</v>
      </c>
      <c r="B386" s="600" t="s">
        <v>1355</v>
      </c>
      <c r="C386" s="601" t="s">
        <v>46</v>
      </c>
      <c r="D386" s="904">
        <v>1.0</v>
      </c>
      <c r="E386" s="826">
        <v>75.05</v>
      </c>
      <c r="F386" s="898" t="str">
        <f>TRUNC(D386*E386,2)</f>
        <v>75.05</v>
      </c>
    </row>
    <row r="387" ht="14.25" customHeight="1">
      <c r="A387" s="976"/>
      <c r="B387" s="398"/>
      <c r="C387" s="901"/>
      <c r="D387" s="902"/>
      <c r="E387" s="609" t="s">
        <v>927</v>
      </c>
      <c r="F387" s="610" t="str">
        <f>SUM(F386)</f>
        <v>75.05</v>
      </c>
    </row>
    <row r="388" ht="14.25" customHeight="1">
      <c r="A388" s="611"/>
      <c r="B388" s="612" t="s">
        <v>928</v>
      </c>
      <c r="C388" s="613"/>
      <c r="D388" s="613"/>
      <c r="E388" s="614"/>
      <c r="F388" s="615" t="str">
        <f>F384+F387</f>
        <v>89.01</v>
      </c>
    </row>
    <row r="389" ht="14.25" customHeight="1"/>
    <row r="390" ht="14.25" customHeight="1">
      <c r="A390" s="657" t="s">
        <v>428</v>
      </c>
      <c r="B390" s="966" t="s">
        <v>1356</v>
      </c>
      <c r="C390" s="589" t="s">
        <v>46</v>
      </c>
      <c r="D390" s="967"/>
      <c r="E390" s="967"/>
      <c r="F390" s="968"/>
    </row>
    <row r="391" ht="15.0" customHeight="1">
      <c r="A391" s="978" t="s">
        <v>1344</v>
      </c>
      <c r="B391" s="561"/>
      <c r="C391" s="561"/>
      <c r="D391" s="561"/>
      <c r="E391" s="561"/>
      <c r="F391" s="124"/>
      <c r="H391" s="909" t="s">
        <v>1167</v>
      </c>
    </row>
    <row r="392" ht="14.25" customHeight="1">
      <c r="A392" s="895"/>
      <c r="B392" s="896" t="s">
        <v>1168</v>
      </c>
      <c r="C392" s="643" t="s">
        <v>919</v>
      </c>
      <c r="D392" s="644" t="s">
        <v>920</v>
      </c>
      <c r="E392" s="897" t="s">
        <v>1169</v>
      </c>
      <c r="F392" s="729" t="s">
        <v>922</v>
      </c>
    </row>
    <row r="393" ht="14.25" customHeight="1">
      <c r="A393" s="174">
        <v>88264.0</v>
      </c>
      <c r="B393" s="600" t="s">
        <v>944</v>
      </c>
      <c r="C393" s="601" t="s">
        <v>924</v>
      </c>
      <c r="D393" s="693">
        <v>0.4</v>
      </c>
      <c r="E393" s="636">
        <v>25.54</v>
      </c>
      <c r="F393" s="898" t="str">
        <f t="shared" ref="F393:F394" si="26">TRUNC(D393*E393,2)</f>
        <v>10.21</v>
      </c>
      <c r="I393" s="566"/>
    </row>
    <row r="394" ht="14.25" customHeight="1">
      <c r="A394" s="960">
        <v>88247.0</v>
      </c>
      <c r="B394" s="600" t="s">
        <v>1170</v>
      </c>
      <c r="C394" s="601" t="s">
        <v>924</v>
      </c>
      <c r="D394" s="693">
        <v>0.4</v>
      </c>
      <c r="E394" s="826">
        <v>21.0</v>
      </c>
      <c r="F394" s="898" t="str">
        <f t="shared" si="26"/>
        <v>8.40</v>
      </c>
    </row>
    <row r="395" ht="14.25" customHeight="1">
      <c r="A395" s="899"/>
      <c r="B395" s="900"/>
      <c r="C395" s="901"/>
      <c r="D395" s="902"/>
      <c r="E395" s="860" t="s">
        <v>927</v>
      </c>
      <c r="F395" s="910" t="str">
        <f>SUM(F393:F394)</f>
        <v>18.61</v>
      </c>
    </row>
    <row r="396" ht="14.25" customHeight="1">
      <c r="A396" s="606"/>
      <c r="B396" s="690" t="s">
        <v>936</v>
      </c>
      <c r="C396" s="595" t="s">
        <v>919</v>
      </c>
      <c r="D396" s="596" t="s">
        <v>920</v>
      </c>
      <c r="E396" s="597" t="s">
        <v>921</v>
      </c>
      <c r="F396" s="598" t="s">
        <v>922</v>
      </c>
    </row>
    <row r="397" ht="14.25" customHeight="1">
      <c r="A397" s="599" t="s">
        <v>966</v>
      </c>
      <c r="B397" s="961" t="s">
        <v>1357</v>
      </c>
      <c r="C397" s="601" t="s">
        <v>46</v>
      </c>
      <c r="D397" s="904">
        <v>1.0</v>
      </c>
      <c r="E397" s="826" t="str">
        <f>C405</f>
        <v>311.11</v>
      </c>
      <c r="F397" s="898" t="str">
        <f>TRUNC(D397*E397,2)</f>
        <v>311.11</v>
      </c>
    </row>
    <row r="398" ht="14.25" customHeight="1">
      <c r="A398" s="976"/>
      <c r="B398" s="398"/>
      <c r="C398" s="901"/>
      <c r="D398" s="902"/>
      <c r="E398" s="609" t="s">
        <v>927</v>
      </c>
      <c r="F398" s="610" t="str">
        <f>SUM(F397)</f>
        <v>311.11</v>
      </c>
    </row>
    <row r="399" ht="14.25" customHeight="1">
      <c r="A399" s="611"/>
      <c r="B399" s="612" t="s">
        <v>928</v>
      </c>
      <c r="C399" s="613"/>
      <c r="D399" s="613"/>
      <c r="E399" s="614"/>
      <c r="F399" s="615" t="str">
        <f>F395+F398</f>
        <v>329.72</v>
      </c>
    </row>
    <row r="400" ht="14.25" customHeight="1">
      <c r="A400" s="730"/>
      <c r="B400" s="731" t="s">
        <v>971</v>
      </c>
      <c r="C400" s="732"/>
      <c r="D400" s="732"/>
      <c r="E400" s="733"/>
      <c r="F400" s="734"/>
    </row>
    <row r="401" ht="14.25" customHeight="1">
      <c r="A401" s="735" t="s">
        <v>972</v>
      </c>
      <c r="B401" s="597" t="s">
        <v>973</v>
      </c>
      <c r="C401" s="736" t="s">
        <v>974</v>
      </c>
      <c r="D401" s="737" t="s">
        <v>975</v>
      </c>
      <c r="E401" s="41"/>
      <c r="F401" s="738" t="s">
        <v>976</v>
      </c>
    </row>
    <row r="402" ht="18.75" customHeight="1">
      <c r="A402" s="740">
        <v>44861.0</v>
      </c>
      <c r="B402" s="600" t="s">
        <v>1188</v>
      </c>
      <c r="C402" s="605">
        <v>311.11</v>
      </c>
      <c r="D402" s="347" t="s">
        <v>1189</v>
      </c>
      <c r="E402" s="41"/>
      <c r="F402" s="917" t="s">
        <v>1302</v>
      </c>
      <c r="I402" s="273" t="s">
        <v>1358</v>
      </c>
    </row>
    <row r="403" ht="14.25" customHeight="1">
      <c r="A403" s="708">
        <v>44881.0</v>
      </c>
      <c r="B403" s="709" t="s">
        <v>1274</v>
      </c>
      <c r="C403" s="710">
        <v>468.73</v>
      </c>
      <c r="D403" s="711" t="s">
        <v>1326</v>
      </c>
      <c r="E403" s="712"/>
      <c r="F403" s="979" t="s">
        <v>1327</v>
      </c>
      <c r="I403" s="204" t="s">
        <v>1359</v>
      </c>
    </row>
    <row r="404" ht="14.25" customHeight="1">
      <c r="A404" s="708">
        <v>44881.0</v>
      </c>
      <c r="B404" s="716" t="s">
        <v>1360</v>
      </c>
      <c r="C404" s="717">
        <v>124.9</v>
      </c>
      <c r="D404" s="718" t="s">
        <v>1361</v>
      </c>
      <c r="E404" s="555"/>
      <c r="F404" s="980" t="s">
        <v>1362</v>
      </c>
      <c r="I404" s="273" t="s">
        <v>1363</v>
      </c>
    </row>
    <row r="405" ht="14.25" customHeight="1">
      <c r="A405" s="720"/>
      <c r="B405" s="721" t="s">
        <v>986</v>
      </c>
      <c r="C405" s="722" t="str">
        <f>MEDIAN(C402:C404)</f>
        <v>311.11</v>
      </c>
      <c r="D405" s="723"/>
      <c r="E405" s="712"/>
      <c r="F405" s="724"/>
    </row>
    <row r="406" ht="14.25" customHeight="1"/>
    <row r="407" ht="14.25" customHeight="1">
      <c r="A407" s="657" t="s">
        <v>449</v>
      </c>
      <c r="B407" s="966" t="s">
        <v>1364</v>
      </c>
      <c r="C407" s="589" t="s">
        <v>46</v>
      </c>
      <c r="D407" s="967"/>
      <c r="E407" s="967"/>
      <c r="F407" s="968"/>
    </row>
    <row r="408" ht="14.25" customHeight="1">
      <c r="A408" s="978" t="s">
        <v>1279</v>
      </c>
      <c r="B408" s="561"/>
      <c r="C408" s="561"/>
      <c r="D408" s="561"/>
      <c r="E408" s="561"/>
      <c r="F408" s="124"/>
      <c r="H408" s="909" t="s">
        <v>1167</v>
      </c>
    </row>
    <row r="409" ht="14.25" customHeight="1">
      <c r="A409" s="895"/>
      <c r="B409" s="896" t="s">
        <v>1168</v>
      </c>
      <c r="C409" s="643" t="s">
        <v>919</v>
      </c>
      <c r="D409" s="644" t="s">
        <v>920</v>
      </c>
      <c r="E409" s="897" t="s">
        <v>1169</v>
      </c>
      <c r="F409" s="729" t="s">
        <v>922</v>
      </c>
    </row>
    <row r="410" ht="14.25" customHeight="1">
      <c r="A410" s="174">
        <v>88264.0</v>
      </c>
      <c r="B410" s="600" t="s">
        <v>944</v>
      </c>
      <c r="C410" s="601" t="s">
        <v>924</v>
      </c>
      <c r="D410" s="693">
        <v>0.05</v>
      </c>
      <c r="E410" s="636">
        <v>25.54</v>
      </c>
      <c r="F410" s="898" t="str">
        <f t="shared" ref="F410:F411" si="27">TRUNC(D410*E410,2)</f>
        <v>1.27</v>
      </c>
    </row>
    <row r="411" ht="14.25" customHeight="1">
      <c r="A411" s="960">
        <v>88247.0</v>
      </c>
      <c r="B411" s="600" t="s">
        <v>1170</v>
      </c>
      <c r="C411" s="601" t="s">
        <v>924</v>
      </c>
      <c r="D411" s="693">
        <v>0.025</v>
      </c>
      <c r="E411" s="826">
        <v>21.0</v>
      </c>
      <c r="F411" s="898" t="str">
        <f t="shared" si="27"/>
        <v>0.52</v>
      </c>
    </row>
    <row r="412" ht="14.25" customHeight="1">
      <c r="A412" s="899"/>
      <c r="B412" s="900"/>
      <c r="C412" s="901"/>
      <c r="D412" s="902"/>
      <c r="E412" s="860" t="s">
        <v>927</v>
      </c>
      <c r="F412" s="910" t="str">
        <f>SUM(F410:F411)</f>
        <v>1.79</v>
      </c>
    </row>
    <row r="413" ht="14.25" customHeight="1">
      <c r="A413" s="606"/>
      <c r="B413" s="690" t="s">
        <v>936</v>
      </c>
      <c r="C413" s="595" t="s">
        <v>919</v>
      </c>
      <c r="D413" s="596" t="s">
        <v>920</v>
      </c>
      <c r="E413" s="597" t="s">
        <v>921</v>
      </c>
      <c r="F413" s="598" t="s">
        <v>922</v>
      </c>
    </row>
    <row r="414" ht="14.25" customHeight="1">
      <c r="A414" s="599" t="s">
        <v>966</v>
      </c>
      <c r="B414" s="600" t="s">
        <v>1365</v>
      </c>
      <c r="C414" s="601" t="s">
        <v>46</v>
      </c>
      <c r="D414" s="904">
        <v>1.0</v>
      </c>
      <c r="E414" s="826" t="str">
        <f>C422</f>
        <v>2.21</v>
      </c>
      <c r="F414" s="898" t="str">
        <f>TRUNC(D414*E414,2)</f>
        <v>2.21</v>
      </c>
    </row>
    <row r="415" ht="14.25" customHeight="1">
      <c r="A415" s="976"/>
      <c r="B415" s="398"/>
      <c r="C415" s="901"/>
      <c r="D415" s="902"/>
      <c r="E415" s="609" t="s">
        <v>927</v>
      </c>
      <c r="F415" s="610" t="str">
        <f>SUM(F414)</f>
        <v>2.21</v>
      </c>
    </row>
    <row r="416" ht="14.25" customHeight="1">
      <c r="A416" s="611"/>
      <c r="B416" s="612" t="s">
        <v>928</v>
      </c>
      <c r="C416" s="613"/>
      <c r="D416" s="613"/>
      <c r="E416" s="614"/>
      <c r="F416" s="615" t="str">
        <f>F412+F415</f>
        <v>4.00</v>
      </c>
    </row>
    <row r="417" ht="14.25" customHeight="1">
      <c r="A417" s="730"/>
      <c r="B417" s="731" t="s">
        <v>971</v>
      </c>
      <c r="C417" s="732"/>
      <c r="D417" s="732"/>
      <c r="E417" s="733"/>
      <c r="F417" s="734"/>
    </row>
    <row r="418" ht="14.25" customHeight="1">
      <c r="A418" s="735" t="s">
        <v>972</v>
      </c>
      <c r="B418" s="597" t="s">
        <v>973</v>
      </c>
      <c r="C418" s="736" t="s">
        <v>974</v>
      </c>
      <c r="D418" s="737" t="s">
        <v>975</v>
      </c>
      <c r="E418" s="41"/>
      <c r="F418" s="738" t="s">
        <v>976</v>
      </c>
    </row>
    <row r="419" ht="14.25" customHeight="1">
      <c r="A419" s="740">
        <v>44869.0</v>
      </c>
      <c r="B419" s="600" t="s">
        <v>1296</v>
      </c>
      <c r="C419" s="605">
        <v>2.21</v>
      </c>
      <c r="D419" s="347" t="s">
        <v>1176</v>
      </c>
      <c r="E419" s="41"/>
      <c r="F419" s="917" t="s">
        <v>1338</v>
      </c>
    </row>
    <row r="420" ht="14.25" customHeight="1">
      <c r="A420" s="740">
        <v>44869.0</v>
      </c>
      <c r="B420" s="600" t="s">
        <v>1317</v>
      </c>
      <c r="C420" s="605">
        <v>1.01</v>
      </c>
      <c r="D420" s="347" t="s">
        <v>1318</v>
      </c>
      <c r="E420" s="41"/>
      <c r="F420" s="917" t="s">
        <v>1319</v>
      </c>
      <c r="I420" s="273" t="s">
        <v>1366</v>
      </c>
    </row>
    <row r="421" ht="14.25" customHeight="1">
      <c r="A421" s="740">
        <v>44872.0</v>
      </c>
      <c r="B421" s="600" t="s">
        <v>1214</v>
      </c>
      <c r="C421" s="605">
        <v>3.95</v>
      </c>
      <c r="D421" s="347" t="s">
        <v>1222</v>
      </c>
      <c r="E421" s="41"/>
      <c r="F421" s="917" t="s">
        <v>1339</v>
      </c>
      <c r="I421" s="273" t="s">
        <v>1367</v>
      </c>
    </row>
    <row r="422" ht="14.25" customHeight="1">
      <c r="A422" s="720"/>
      <c r="B422" s="721" t="s">
        <v>986</v>
      </c>
      <c r="C422" s="722" t="str">
        <f>MEDIAN(C419:C421)</f>
        <v>2.21</v>
      </c>
      <c r="D422" s="723"/>
      <c r="E422" s="712"/>
      <c r="F422" s="724"/>
    </row>
    <row r="423" ht="14.25" customHeight="1"/>
    <row r="424" ht="27.75" customHeight="1">
      <c r="A424" s="657" t="s">
        <v>462</v>
      </c>
      <c r="B424" s="966" t="s">
        <v>463</v>
      </c>
      <c r="C424" s="589" t="s">
        <v>46</v>
      </c>
      <c r="D424" s="967"/>
      <c r="E424" s="967"/>
      <c r="F424" s="968"/>
      <c r="H424" s="82"/>
    </row>
    <row r="425" ht="14.25" customHeight="1">
      <c r="A425" s="978" t="s">
        <v>1368</v>
      </c>
      <c r="B425" s="561"/>
      <c r="C425" s="561"/>
      <c r="D425" s="561"/>
      <c r="E425" s="561"/>
      <c r="F425" s="124"/>
      <c r="H425" s="909" t="s">
        <v>1167</v>
      </c>
    </row>
    <row r="426" ht="14.25" customHeight="1">
      <c r="A426" s="895"/>
      <c r="B426" s="896" t="s">
        <v>1168</v>
      </c>
      <c r="C426" s="643" t="s">
        <v>919</v>
      </c>
      <c r="D426" s="644" t="s">
        <v>920</v>
      </c>
      <c r="E426" s="897" t="s">
        <v>1169</v>
      </c>
      <c r="F426" s="729" t="s">
        <v>922</v>
      </c>
    </row>
    <row r="427" ht="14.25" customHeight="1">
      <c r="A427" s="174">
        <v>88264.0</v>
      </c>
      <c r="B427" s="600" t="s">
        <v>944</v>
      </c>
      <c r="C427" s="601" t="s">
        <v>924</v>
      </c>
      <c r="D427" s="693">
        <v>1.2</v>
      </c>
      <c r="E427" s="636">
        <v>25.54</v>
      </c>
      <c r="F427" s="898" t="str">
        <f t="shared" ref="F427:F428" si="28">TRUNC(D427*E427,2)</f>
        <v>30.64</v>
      </c>
    </row>
    <row r="428" ht="14.25" customHeight="1">
      <c r="A428" s="960">
        <v>88247.0</v>
      </c>
      <c r="B428" s="600" t="s">
        <v>1170</v>
      </c>
      <c r="C428" s="601" t="s">
        <v>924</v>
      </c>
      <c r="D428" s="693">
        <v>1.2</v>
      </c>
      <c r="E428" s="826">
        <v>21.0</v>
      </c>
      <c r="F428" s="898" t="str">
        <f t="shared" si="28"/>
        <v>25.20</v>
      </c>
    </row>
    <row r="429" ht="14.25" customHeight="1">
      <c r="A429" s="899"/>
      <c r="B429" s="900"/>
      <c r="C429" s="901"/>
      <c r="D429" s="902"/>
      <c r="E429" s="860" t="s">
        <v>927</v>
      </c>
      <c r="F429" s="910" t="str">
        <f>SUM(F427:F428)</f>
        <v>55.84</v>
      </c>
    </row>
    <row r="430" ht="14.25" customHeight="1">
      <c r="A430" s="606"/>
      <c r="B430" s="690" t="s">
        <v>936</v>
      </c>
      <c r="C430" s="595" t="s">
        <v>919</v>
      </c>
      <c r="D430" s="596" t="s">
        <v>920</v>
      </c>
      <c r="E430" s="597" t="s">
        <v>921</v>
      </c>
      <c r="F430" s="598" t="s">
        <v>922</v>
      </c>
    </row>
    <row r="431" ht="14.25" customHeight="1">
      <c r="A431" s="663">
        <v>39387.0</v>
      </c>
      <c r="B431" s="635" t="s">
        <v>1369</v>
      </c>
      <c r="C431" s="601" t="s">
        <v>46</v>
      </c>
      <c r="D431" s="904">
        <v>4.0</v>
      </c>
      <c r="E431" s="826">
        <v>13.61</v>
      </c>
      <c r="F431" s="898" t="str">
        <f t="shared" ref="F431:F433" si="29">TRUNC(D431*E431,2)</f>
        <v>54.44</v>
      </c>
    </row>
    <row r="432" ht="14.25" customHeight="1">
      <c r="A432" s="634">
        <v>14543.0</v>
      </c>
      <c r="B432" s="635" t="s">
        <v>1370</v>
      </c>
      <c r="C432" s="601" t="s">
        <v>46</v>
      </c>
      <c r="D432" s="930">
        <v>4.0</v>
      </c>
      <c r="E432" s="826">
        <v>7.51</v>
      </c>
      <c r="F432" s="898" t="str">
        <f t="shared" si="29"/>
        <v>30.04</v>
      </c>
    </row>
    <row r="433" ht="30.0" customHeight="1">
      <c r="A433" s="634" t="s">
        <v>966</v>
      </c>
      <c r="B433" s="635" t="s">
        <v>1371</v>
      </c>
      <c r="C433" s="601" t="s">
        <v>46</v>
      </c>
      <c r="D433" s="930">
        <v>1.0</v>
      </c>
      <c r="E433" s="826" t="str">
        <f>C441</f>
        <v>206.53</v>
      </c>
      <c r="F433" s="898" t="str">
        <f t="shared" si="29"/>
        <v>206.53</v>
      </c>
    </row>
    <row r="434" ht="14.25" customHeight="1">
      <c r="A434" s="976"/>
      <c r="B434" s="398"/>
      <c r="C434" s="901"/>
      <c r="D434" s="902"/>
      <c r="E434" s="609" t="s">
        <v>927</v>
      </c>
      <c r="F434" s="610" t="str">
        <f>SUM(F431:F433)</f>
        <v>291.01</v>
      </c>
      <c r="H434" s="148"/>
    </row>
    <row r="435" ht="14.25" customHeight="1">
      <c r="A435" s="611"/>
      <c r="B435" s="612" t="s">
        <v>928</v>
      </c>
      <c r="C435" s="613"/>
      <c r="D435" s="613"/>
      <c r="E435" s="614"/>
      <c r="F435" s="615" t="str">
        <f>F429+F434</f>
        <v>346.85</v>
      </c>
    </row>
    <row r="436" ht="14.25" customHeight="1">
      <c r="A436" s="762"/>
      <c r="B436" s="763" t="s">
        <v>971</v>
      </c>
      <c r="C436" s="764"/>
      <c r="D436" s="764"/>
      <c r="E436" s="765"/>
      <c r="F436" s="766"/>
    </row>
    <row r="437" ht="14.25" customHeight="1">
      <c r="A437" s="735" t="s">
        <v>972</v>
      </c>
      <c r="B437" s="597" t="s">
        <v>973</v>
      </c>
      <c r="C437" s="736" t="s">
        <v>974</v>
      </c>
      <c r="D437" s="737" t="s">
        <v>975</v>
      </c>
      <c r="E437" s="41"/>
      <c r="F437" s="738" t="s">
        <v>976</v>
      </c>
    </row>
    <row r="438" ht="14.25" customHeight="1">
      <c r="A438" s="740">
        <v>44861.0</v>
      </c>
      <c r="B438" s="600" t="s">
        <v>1188</v>
      </c>
      <c r="C438" s="605">
        <v>283.62</v>
      </c>
      <c r="D438" s="347" t="s">
        <v>1189</v>
      </c>
      <c r="E438" s="41"/>
      <c r="F438" s="917" t="s">
        <v>1302</v>
      </c>
      <c r="I438" s="204" t="s">
        <v>1372</v>
      </c>
    </row>
    <row r="439" ht="14.25" customHeight="1">
      <c r="A439" s="740">
        <v>44881.0</v>
      </c>
      <c r="B439" s="600" t="s">
        <v>1373</v>
      </c>
      <c r="C439" s="605">
        <v>170.33</v>
      </c>
      <c r="D439" s="347" t="s">
        <v>1374</v>
      </c>
      <c r="E439" s="41"/>
      <c r="F439" s="917" t="s">
        <v>1375</v>
      </c>
      <c r="I439" s="273" t="s">
        <v>1376</v>
      </c>
    </row>
    <row r="440" ht="14.25" customHeight="1">
      <c r="A440" s="740">
        <v>44881.0</v>
      </c>
      <c r="B440" s="600" t="s">
        <v>1377</v>
      </c>
      <c r="C440" s="605">
        <v>206.53</v>
      </c>
      <c r="D440" s="347" t="s">
        <v>1378</v>
      </c>
      <c r="E440" s="41"/>
      <c r="F440" s="917" t="s">
        <v>1379</v>
      </c>
      <c r="I440" s="204" t="s">
        <v>1380</v>
      </c>
    </row>
    <row r="441" ht="14.25" customHeight="1">
      <c r="A441" s="720"/>
      <c r="B441" s="721" t="s">
        <v>986</v>
      </c>
      <c r="C441" s="722" t="str">
        <f>MEDIAN(C438:C440)</f>
        <v>206.53</v>
      </c>
      <c r="D441" s="723"/>
      <c r="E441" s="712"/>
      <c r="F441" s="724"/>
    </row>
    <row r="442" ht="14.25" customHeight="1">
      <c r="A442" s="335"/>
      <c r="B442" s="744"/>
      <c r="C442" s="745"/>
      <c r="D442" s="624"/>
      <c r="E442" s="624"/>
      <c r="F442" s="335"/>
    </row>
    <row r="443" ht="25.5" customHeight="1">
      <c r="A443" s="657" t="s">
        <v>465</v>
      </c>
      <c r="B443" s="966" t="s">
        <v>466</v>
      </c>
      <c r="C443" s="589" t="s">
        <v>46</v>
      </c>
      <c r="D443" s="967"/>
      <c r="E443" s="967"/>
      <c r="F443" s="968"/>
    </row>
    <row r="444" ht="14.25" customHeight="1">
      <c r="A444" s="978" t="s">
        <v>1381</v>
      </c>
      <c r="B444" s="561"/>
      <c r="C444" s="561"/>
      <c r="D444" s="561"/>
      <c r="E444" s="561"/>
      <c r="F444" s="124"/>
      <c r="H444" s="909" t="s">
        <v>1167</v>
      </c>
    </row>
    <row r="445" ht="14.25" customHeight="1">
      <c r="A445" s="895"/>
      <c r="B445" s="896" t="s">
        <v>1168</v>
      </c>
      <c r="C445" s="643" t="s">
        <v>919</v>
      </c>
      <c r="D445" s="644" t="s">
        <v>920</v>
      </c>
      <c r="E445" s="897" t="s">
        <v>1169</v>
      </c>
      <c r="F445" s="729" t="s">
        <v>922</v>
      </c>
    </row>
    <row r="446" ht="14.25" customHeight="1">
      <c r="A446" s="174">
        <v>88264.0</v>
      </c>
      <c r="B446" s="600" t="s">
        <v>944</v>
      </c>
      <c r="C446" s="601" t="s">
        <v>924</v>
      </c>
      <c r="D446" s="693">
        <v>0.5</v>
      </c>
      <c r="E446" s="636">
        <v>25.54</v>
      </c>
      <c r="F446" s="898" t="str">
        <f t="shared" ref="F446:F447" si="30">TRUNC(D446*E446,2)</f>
        <v>12.77</v>
      </c>
    </row>
    <row r="447" ht="14.25" customHeight="1">
      <c r="A447" s="960">
        <v>88247.0</v>
      </c>
      <c r="B447" s="600" t="s">
        <v>1170</v>
      </c>
      <c r="C447" s="601" t="s">
        <v>924</v>
      </c>
      <c r="D447" s="693">
        <v>0.3</v>
      </c>
      <c r="E447" s="826">
        <v>21.0</v>
      </c>
      <c r="F447" s="898" t="str">
        <f t="shared" si="30"/>
        <v>6.30</v>
      </c>
    </row>
    <row r="448" ht="14.25" customHeight="1">
      <c r="A448" s="899"/>
      <c r="B448" s="900"/>
      <c r="C448" s="901"/>
      <c r="D448" s="902"/>
      <c r="E448" s="860" t="s">
        <v>927</v>
      </c>
      <c r="F448" s="910" t="str">
        <f>SUM(F446:F447)</f>
        <v>19.07</v>
      </c>
    </row>
    <row r="449" ht="14.25" customHeight="1">
      <c r="A449" s="606"/>
      <c r="B449" s="690" t="s">
        <v>936</v>
      </c>
      <c r="C449" s="595" t="s">
        <v>919</v>
      </c>
      <c r="D449" s="596" t="s">
        <v>920</v>
      </c>
      <c r="E449" s="597" t="s">
        <v>921</v>
      </c>
      <c r="F449" s="598" t="s">
        <v>922</v>
      </c>
    </row>
    <row r="450" ht="14.25" customHeight="1">
      <c r="A450" s="691">
        <v>7568.0</v>
      </c>
      <c r="B450" s="600" t="s">
        <v>1382</v>
      </c>
      <c r="C450" s="601" t="s">
        <v>46</v>
      </c>
      <c r="D450" s="904">
        <v>2.0</v>
      </c>
      <c r="E450" s="826">
        <v>0.61</v>
      </c>
      <c r="F450" s="898" t="str">
        <f t="shared" ref="F450:F451" si="31">TRUNC(D450*E450,2)</f>
        <v>1.22</v>
      </c>
    </row>
    <row r="451" ht="14.25" customHeight="1">
      <c r="A451" s="634">
        <v>39391.0</v>
      </c>
      <c r="B451" s="600" t="s">
        <v>1383</v>
      </c>
      <c r="C451" s="601" t="s">
        <v>46</v>
      </c>
      <c r="D451" s="930">
        <v>1.0</v>
      </c>
      <c r="E451" s="826">
        <v>41.65</v>
      </c>
      <c r="F451" s="898" t="str">
        <f t="shared" si="31"/>
        <v>41.65</v>
      </c>
    </row>
    <row r="452" ht="14.25" customHeight="1">
      <c r="A452" s="976"/>
      <c r="B452" s="398"/>
      <c r="C452" s="901"/>
      <c r="D452" s="902"/>
      <c r="E452" s="609" t="s">
        <v>927</v>
      </c>
      <c r="F452" s="610" t="str">
        <f>SUM(F450:F451)</f>
        <v>42.87</v>
      </c>
    </row>
    <row r="453" ht="14.25" customHeight="1">
      <c r="A453" s="611"/>
      <c r="B453" s="612" t="s">
        <v>928</v>
      </c>
      <c r="C453" s="613"/>
      <c r="D453" s="613"/>
      <c r="E453" s="614"/>
      <c r="F453" s="615" t="str">
        <f>F448+F452</f>
        <v>61.94</v>
      </c>
    </row>
    <row r="454" ht="14.25" customHeight="1">
      <c r="A454" s="335"/>
      <c r="B454" s="744"/>
      <c r="C454" s="745"/>
      <c r="D454" s="624"/>
      <c r="E454" s="624"/>
      <c r="F454" s="335"/>
    </row>
    <row r="455" ht="30.75" customHeight="1">
      <c r="A455" s="657" t="s">
        <v>468</v>
      </c>
      <c r="B455" s="966" t="s">
        <v>469</v>
      </c>
      <c r="C455" s="589" t="s">
        <v>46</v>
      </c>
      <c r="D455" s="967"/>
      <c r="E455" s="967"/>
      <c r="F455" s="968"/>
    </row>
    <row r="456" ht="14.25" customHeight="1">
      <c r="A456" s="978" t="s">
        <v>1381</v>
      </c>
      <c r="B456" s="561"/>
      <c r="C456" s="561"/>
      <c r="D456" s="561"/>
      <c r="E456" s="561"/>
      <c r="F456" s="124"/>
      <c r="H456" s="909" t="s">
        <v>1167</v>
      </c>
    </row>
    <row r="457" ht="14.25" customHeight="1">
      <c r="A457" s="895"/>
      <c r="B457" s="896" t="s">
        <v>1168</v>
      </c>
      <c r="C457" s="643" t="s">
        <v>919</v>
      </c>
      <c r="D457" s="644" t="s">
        <v>920</v>
      </c>
      <c r="E457" s="897" t="s">
        <v>1169</v>
      </c>
      <c r="F457" s="729" t="s">
        <v>922</v>
      </c>
    </row>
    <row r="458" ht="14.25" customHeight="1">
      <c r="A458" s="174">
        <v>88264.0</v>
      </c>
      <c r="B458" s="600" t="s">
        <v>944</v>
      </c>
      <c r="C458" s="601" t="s">
        <v>924</v>
      </c>
      <c r="D458" s="693">
        <v>0.5</v>
      </c>
      <c r="E458" s="636">
        <v>25.54</v>
      </c>
      <c r="F458" s="898" t="str">
        <f t="shared" ref="F458:F459" si="32">TRUNC(D458*E458,2)</f>
        <v>12.77</v>
      </c>
    </row>
    <row r="459" ht="14.25" customHeight="1">
      <c r="A459" s="960">
        <v>88247.0</v>
      </c>
      <c r="B459" s="600" t="s">
        <v>1170</v>
      </c>
      <c r="C459" s="601" t="s">
        <v>924</v>
      </c>
      <c r="D459" s="693">
        <v>0.3</v>
      </c>
      <c r="E459" s="826">
        <v>21.0</v>
      </c>
      <c r="F459" s="898" t="str">
        <f t="shared" si="32"/>
        <v>6.30</v>
      </c>
    </row>
    <row r="460" ht="14.25" customHeight="1">
      <c r="A460" s="899"/>
      <c r="B460" s="900"/>
      <c r="C460" s="901"/>
      <c r="D460" s="902"/>
      <c r="E460" s="860" t="s">
        <v>927</v>
      </c>
      <c r="F460" s="910" t="str">
        <f>SUM(F458:F459)</f>
        <v>19.07</v>
      </c>
    </row>
    <row r="461" ht="14.25" customHeight="1">
      <c r="A461" s="606"/>
      <c r="B461" s="690" t="s">
        <v>936</v>
      </c>
      <c r="C461" s="595" t="s">
        <v>919</v>
      </c>
      <c r="D461" s="596" t="s">
        <v>920</v>
      </c>
      <c r="E461" s="597" t="s">
        <v>921</v>
      </c>
      <c r="F461" s="598" t="s">
        <v>922</v>
      </c>
    </row>
    <row r="462" ht="14.25" customHeight="1">
      <c r="A462" s="691">
        <v>7568.0</v>
      </c>
      <c r="B462" s="600" t="s">
        <v>1382</v>
      </c>
      <c r="C462" s="601" t="s">
        <v>46</v>
      </c>
      <c r="D462" s="904">
        <v>2.0</v>
      </c>
      <c r="E462" s="826">
        <v>0.61</v>
      </c>
      <c r="F462" s="898" t="str">
        <f t="shared" ref="F462:F463" si="33">TRUNC(D462*E462,2)</f>
        <v>1.22</v>
      </c>
    </row>
    <row r="463" ht="14.25" customHeight="1">
      <c r="A463" s="634">
        <v>39389.0</v>
      </c>
      <c r="B463" s="600" t="s">
        <v>1384</v>
      </c>
      <c r="C463" s="601" t="s">
        <v>46</v>
      </c>
      <c r="D463" s="930">
        <v>1.0</v>
      </c>
      <c r="E463" s="826">
        <v>17.7</v>
      </c>
      <c r="F463" s="898" t="str">
        <f t="shared" si="33"/>
        <v>17.70</v>
      </c>
    </row>
    <row r="464" ht="14.25" customHeight="1">
      <c r="A464" s="976"/>
      <c r="B464" s="398"/>
      <c r="C464" s="901"/>
      <c r="D464" s="902"/>
      <c r="E464" s="609" t="s">
        <v>927</v>
      </c>
      <c r="F464" s="610" t="str">
        <f>SUM(F462:F463)</f>
        <v>18.92</v>
      </c>
    </row>
    <row r="465" ht="14.25" customHeight="1">
      <c r="A465" s="611"/>
      <c r="B465" s="612" t="s">
        <v>928</v>
      </c>
      <c r="C465" s="613"/>
      <c r="D465" s="613"/>
      <c r="E465" s="614"/>
      <c r="F465" s="615" t="str">
        <f>F460+F464</f>
        <v>37.99</v>
      </c>
    </row>
    <row r="466" ht="15.0" customHeight="1">
      <c r="A466" s="144"/>
      <c r="B466" s="95"/>
      <c r="C466" s="981"/>
      <c r="D466" s="982"/>
      <c r="E466" s="983"/>
      <c r="F466" s="773"/>
    </row>
    <row r="467" ht="14.25" customHeight="1">
      <c r="A467" s="657" t="s">
        <v>471</v>
      </c>
      <c r="B467" s="966" t="s">
        <v>472</v>
      </c>
      <c r="C467" s="589" t="s">
        <v>46</v>
      </c>
      <c r="D467" s="967"/>
      <c r="E467" s="967"/>
      <c r="F467" s="968"/>
    </row>
    <row r="468" ht="14.25" customHeight="1">
      <c r="A468" s="978" t="s">
        <v>1385</v>
      </c>
      <c r="B468" s="561"/>
      <c r="C468" s="561"/>
      <c r="D468" s="561"/>
      <c r="E468" s="561"/>
      <c r="F468" s="124"/>
      <c r="H468" s="82" t="s">
        <v>1167</v>
      </c>
    </row>
    <row r="469" ht="14.25" customHeight="1">
      <c r="A469" s="895"/>
      <c r="B469" s="896" t="s">
        <v>1168</v>
      </c>
      <c r="C469" s="643" t="s">
        <v>919</v>
      </c>
      <c r="D469" s="644" t="s">
        <v>920</v>
      </c>
      <c r="E469" s="897" t="s">
        <v>1169</v>
      </c>
      <c r="F469" s="729" t="s">
        <v>922</v>
      </c>
    </row>
    <row r="470" ht="14.25" customHeight="1">
      <c r="A470" s="174">
        <v>88264.0</v>
      </c>
      <c r="B470" s="600" t="s">
        <v>944</v>
      </c>
      <c r="C470" s="601" t="s">
        <v>924</v>
      </c>
      <c r="D470" s="693">
        <v>0.5</v>
      </c>
      <c r="E470" s="636">
        <v>25.54</v>
      </c>
      <c r="F470" s="898" t="str">
        <f t="shared" ref="F470:F471" si="34">TRUNC(D470*E470,2)</f>
        <v>12.77</v>
      </c>
    </row>
    <row r="471" ht="14.25" customHeight="1">
      <c r="A471" s="960">
        <v>88247.0</v>
      </c>
      <c r="B471" s="600" t="s">
        <v>1170</v>
      </c>
      <c r="C471" s="601" t="s">
        <v>924</v>
      </c>
      <c r="D471" s="693">
        <v>0.3</v>
      </c>
      <c r="E471" s="826">
        <v>21.0</v>
      </c>
      <c r="F471" s="898" t="str">
        <f t="shared" si="34"/>
        <v>6.30</v>
      </c>
    </row>
    <row r="472" ht="14.25" customHeight="1">
      <c r="A472" s="899"/>
      <c r="B472" s="900"/>
      <c r="C472" s="901"/>
      <c r="D472" s="902"/>
      <c r="E472" s="860" t="s">
        <v>927</v>
      </c>
      <c r="F472" s="910" t="str">
        <f>SUM(F470:F471)</f>
        <v>19.07</v>
      </c>
    </row>
    <row r="473" ht="14.25" customHeight="1">
      <c r="A473" s="606"/>
      <c r="B473" s="690" t="s">
        <v>936</v>
      </c>
      <c r="C473" s="595" t="s">
        <v>919</v>
      </c>
      <c r="D473" s="596" t="s">
        <v>920</v>
      </c>
      <c r="E473" s="597" t="s">
        <v>921</v>
      </c>
      <c r="F473" s="598" t="s">
        <v>922</v>
      </c>
    </row>
    <row r="474" ht="14.25" customHeight="1">
      <c r="A474" s="667">
        <v>21127.0</v>
      </c>
      <c r="B474" s="600" t="s">
        <v>1386</v>
      </c>
      <c r="C474" s="601" t="s">
        <v>46</v>
      </c>
      <c r="D474" s="930">
        <v>0.021</v>
      </c>
      <c r="E474" s="826">
        <v>4.06</v>
      </c>
      <c r="F474" s="898" t="str">
        <f t="shared" ref="F474:F476" si="35">TRUNC(D474*E474,2)</f>
        <v>0.08</v>
      </c>
    </row>
    <row r="475" ht="14.25" customHeight="1">
      <c r="A475" s="634">
        <v>39380.0</v>
      </c>
      <c r="B475" s="600" t="s">
        <v>1387</v>
      </c>
      <c r="C475" s="601" t="s">
        <v>46</v>
      </c>
      <c r="D475" s="930">
        <v>1.0</v>
      </c>
      <c r="E475" s="826">
        <v>20.65</v>
      </c>
      <c r="F475" s="898" t="str">
        <f t="shared" si="35"/>
        <v>20.65</v>
      </c>
    </row>
    <row r="476" ht="14.25" customHeight="1">
      <c r="A476" s="634" t="s">
        <v>966</v>
      </c>
      <c r="B476" s="600" t="s">
        <v>1388</v>
      </c>
      <c r="C476" s="601" t="s">
        <v>46</v>
      </c>
      <c r="D476" s="930">
        <v>1.0</v>
      </c>
      <c r="E476" s="826" t="str">
        <f>C484</f>
        <v>38.23</v>
      </c>
      <c r="F476" s="898" t="str">
        <f t="shared" si="35"/>
        <v>38.23</v>
      </c>
    </row>
    <row r="477" ht="14.25" customHeight="1">
      <c r="A477" s="976"/>
      <c r="B477" s="398"/>
      <c r="C477" s="901"/>
      <c r="D477" s="902"/>
      <c r="E477" s="609" t="s">
        <v>927</v>
      </c>
      <c r="F477" s="610" t="str">
        <f>SUM(F474:F476)</f>
        <v>58.96</v>
      </c>
    </row>
    <row r="478" ht="14.25" customHeight="1">
      <c r="A478" s="611"/>
      <c r="B478" s="612" t="s">
        <v>928</v>
      </c>
      <c r="C478" s="613"/>
      <c r="D478" s="613"/>
      <c r="E478" s="614"/>
      <c r="F478" s="615" t="str">
        <f>F472+F477</f>
        <v>78.03</v>
      </c>
    </row>
    <row r="479" ht="14.25" customHeight="1">
      <c r="A479" s="762"/>
      <c r="B479" s="763" t="s">
        <v>971</v>
      </c>
      <c r="C479" s="764"/>
      <c r="D479" s="764"/>
      <c r="E479" s="765"/>
      <c r="F479" s="766"/>
    </row>
    <row r="480" ht="14.25" customHeight="1">
      <c r="A480" s="735" t="s">
        <v>972</v>
      </c>
      <c r="B480" s="597" t="s">
        <v>973</v>
      </c>
      <c r="C480" s="736" t="s">
        <v>974</v>
      </c>
      <c r="D480" s="737" t="s">
        <v>975</v>
      </c>
      <c r="E480" s="41"/>
      <c r="F480" s="738" t="s">
        <v>976</v>
      </c>
    </row>
    <row r="481" ht="14.25" customHeight="1">
      <c r="A481" s="740">
        <v>44868.0</v>
      </c>
      <c r="B481" s="600" t="s">
        <v>1346</v>
      </c>
      <c r="C481" s="605">
        <v>30.46</v>
      </c>
      <c r="D481" s="347" t="s">
        <v>1347</v>
      </c>
      <c r="E481" s="41"/>
      <c r="F481" s="917" t="s">
        <v>1348</v>
      </c>
      <c r="I481" s="273" t="s">
        <v>1389</v>
      </c>
    </row>
    <row r="482" ht="14.25" customHeight="1">
      <c r="A482" s="740">
        <v>44872.0</v>
      </c>
      <c r="B482" s="600" t="s">
        <v>1390</v>
      </c>
      <c r="C482" s="605">
        <v>38.23</v>
      </c>
      <c r="D482" s="347" t="s">
        <v>1218</v>
      </c>
      <c r="E482" s="41"/>
      <c r="F482" s="917" t="s">
        <v>1219</v>
      </c>
      <c r="I482" s="204" t="s">
        <v>1391</v>
      </c>
    </row>
    <row r="483" ht="14.25" customHeight="1">
      <c r="A483" s="740">
        <v>44872.0</v>
      </c>
      <c r="B483" s="600" t="s">
        <v>1392</v>
      </c>
      <c r="C483" s="605">
        <v>49.46</v>
      </c>
      <c r="D483" s="347" t="s">
        <v>1275</v>
      </c>
      <c r="E483" s="41"/>
      <c r="F483" s="917" t="s">
        <v>1327</v>
      </c>
      <c r="I483" s="204" t="s">
        <v>1393</v>
      </c>
    </row>
    <row r="484" ht="14.25" customHeight="1">
      <c r="A484" s="720"/>
      <c r="B484" s="721" t="s">
        <v>986</v>
      </c>
      <c r="C484" s="722" t="str">
        <f>MEDIAN(C481:C483)</f>
        <v>38.23</v>
      </c>
      <c r="D484" s="723"/>
      <c r="E484" s="712"/>
      <c r="F484" s="724"/>
    </row>
    <row r="485" ht="14.25" customHeight="1">
      <c r="A485" s="335"/>
      <c r="B485" s="744"/>
      <c r="C485" s="745"/>
      <c r="D485" s="624"/>
      <c r="E485" s="624"/>
      <c r="F485" s="335"/>
    </row>
    <row r="486" ht="14.25" customHeight="1">
      <c r="A486" s="657" t="s">
        <v>474</v>
      </c>
      <c r="B486" s="966" t="s">
        <v>1394</v>
      </c>
      <c r="C486" s="589" t="s">
        <v>46</v>
      </c>
      <c r="D486" s="967"/>
      <c r="E486" s="967"/>
      <c r="F486" s="968"/>
    </row>
    <row r="487" ht="14.25" customHeight="1">
      <c r="A487" s="978" t="s">
        <v>1395</v>
      </c>
      <c r="B487" s="561"/>
      <c r="C487" s="561"/>
      <c r="D487" s="561"/>
      <c r="E487" s="561"/>
      <c r="F487" s="124"/>
      <c r="H487" s="82" t="s">
        <v>1167</v>
      </c>
    </row>
    <row r="488" ht="14.25" customHeight="1">
      <c r="A488" s="895"/>
      <c r="B488" s="896" t="s">
        <v>1168</v>
      </c>
      <c r="C488" s="643" t="s">
        <v>919</v>
      </c>
      <c r="D488" s="644" t="s">
        <v>920</v>
      </c>
      <c r="E488" s="897" t="s">
        <v>1169</v>
      </c>
      <c r="F488" s="729" t="s">
        <v>922</v>
      </c>
    </row>
    <row r="489" ht="14.25" customHeight="1">
      <c r="A489" s="691">
        <v>88264.0</v>
      </c>
      <c r="B489" s="600" t="s">
        <v>944</v>
      </c>
      <c r="C489" s="601" t="s">
        <v>924</v>
      </c>
      <c r="D489" s="693">
        <v>0.03</v>
      </c>
      <c r="E489" s="636">
        <v>25.54</v>
      </c>
      <c r="F489" s="898" t="str">
        <f t="shared" ref="F489:F490" si="36">TRUNC(D489*E489,2)</f>
        <v>0.76</v>
      </c>
    </row>
    <row r="490" ht="14.25" customHeight="1">
      <c r="A490" s="599">
        <v>88247.0</v>
      </c>
      <c r="B490" s="600" t="s">
        <v>1170</v>
      </c>
      <c r="C490" s="601" t="s">
        <v>924</v>
      </c>
      <c r="D490" s="693">
        <v>0.03</v>
      </c>
      <c r="E490" s="826">
        <v>21.0</v>
      </c>
      <c r="F490" s="898" t="str">
        <f t="shared" si="36"/>
        <v>0.63</v>
      </c>
    </row>
    <row r="491" ht="14.25" customHeight="1">
      <c r="A491" s="899"/>
      <c r="B491" s="900"/>
      <c r="C491" s="901"/>
      <c r="D491" s="902"/>
      <c r="E491" s="860" t="s">
        <v>927</v>
      </c>
      <c r="F491" s="910" t="str">
        <f>SUM(F489:F490)</f>
        <v>1.39</v>
      </c>
    </row>
    <row r="492" ht="14.25" customHeight="1">
      <c r="A492" s="984"/>
      <c r="B492" s="985" t="s">
        <v>936</v>
      </c>
      <c r="C492" s="986" t="s">
        <v>919</v>
      </c>
      <c r="D492" s="987" t="s">
        <v>920</v>
      </c>
      <c r="E492" s="988" t="s">
        <v>921</v>
      </c>
      <c r="F492" s="989" t="s">
        <v>922</v>
      </c>
    </row>
    <row r="493" ht="14.25" customHeight="1">
      <c r="A493" s="678">
        <v>7543.0</v>
      </c>
      <c r="B493" s="679" t="s">
        <v>1396</v>
      </c>
      <c r="C493" s="680" t="s">
        <v>46</v>
      </c>
      <c r="D493" s="990">
        <v>1.0</v>
      </c>
      <c r="E493" s="991">
        <v>5.57</v>
      </c>
      <c r="F493" s="992" t="str">
        <f>TRUNC(D493*E493,2)</f>
        <v>5.57</v>
      </c>
    </row>
    <row r="494" ht="14.25" customHeight="1">
      <c r="A494" s="976"/>
      <c r="B494" s="398"/>
      <c r="C494" s="901"/>
      <c r="D494" s="902"/>
      <c r="E494" s="609" t="s">
        <v>927</v>
      </c>
      <c r="F494" s="610" t="str">
        <f>SUM(F493)</f>
        <v>5.57</v>
      </c>
    </row>
    <row r="495" ht="14.25" customHeight="1">
      <c r="A495" s="611"/>
      <c r="B495" s="612" t="s">
        <v>928</v>
      </c>
      <c r="C495" s="613"/>
      <c r="D495" s="613"/>
      <c r="E495" s="614"/>
      <c r="F495" s="615" t="str">
        <f>F491+F494</f>
        <v>6.96</v>
      </c>
    </row>
    <row r="496" ht="14.25" customHeight="1">
      <c r="A496" s="335"/>
      <c r="B496" s="744"/>
      <c r="C496" s="745"/>
      <c r="D496" s="624"/>
      <c r="E496" s="624"/>
      <c r="F496" s="335"/>
    </row>
    <row r="497" ht="14.25" customHeight="1">
      <c r="A497" s="888" t="s">
        <v>524</v>
      </c>
      <c r="B497" s="889" t="s">
        <v>525</v>
      </c>
      <c r="C497" s="775" t="s">
        <v>46</v>
      </c>
      <c r="D497" s="890"/>
      <c r="E497" s="890"/>
      <c r="F497" s="891"/>
    </row>
    <row r="498" ht="15.0" customHeight="1">
      <c r="A498" s="921" t="s">
        <v>1397</v>
      </c>
      <c r="B498" s="107"/>
      <c r="C498" s="107"/>
      <c r="D498" s="107"/>
      <c r="E498" s="107"/>
      <c r="F498" s="781"/>
      <c r="H498" s="82" t="s">
        <v>1167</v>
      </c>
    </row>
    <row r="499" ht="14.25" customHeight="1">
      <c r="A499" s="895"/>
      <c r="B499" s="896" t="s">
        <v>1168</v>
      </c>
      <c r="C499" s="643" t="s">
        <v>919</v>
      </c>
      <c r="D499" s="644" t="s">
        <v>920</v>
      </c>
      <c r="E499" s="897" t="s">
        <v>1169</v>
      </c>
      <c r="F499" s="729" t="s">
        <v>922</v>
      </c>
    </row>
    <row r="500" ht="14.25" customHeight="1">
      <c r="A500" s="599">
        <v>88266.0</v>
      </c>
      <c r="B500" s="600" t="s">
        <v>1398</v>
      </c>
      <c r="C500" s="601" t="s">
        <v>924</v>
      </c>
      <c r="D500" s="693">
        <v>38.267</v>
      </c>
      <c r="E500" s="636">
        <v>31.55</v>
      </c>
      <c r="F500" s="898" t="str">
        <f t="shared" ref="F500:F502" si="37">TRUNC(D500*E500,2)</f>
        <v>1,207.32</v>
      </c>
    </row>
    <row r="501" ht="14.25" customHeight="1">
      <c r="A501" s="599">
        <v>88264.0</v>
      </c>
      <c r="B501" s="600" t="s">
        <v>944</v>
      </c>
      <c r="C501" s="601" t="s">
        <v>924</v>
      </c>
      <c r="D501" s="693">
        <v>23.385</v>
      </c>
      <c r="E501" s="636">
        <v>25.54</v>
      </c>
      <c r="F501" s="898" t="str">
        <f t="shared" si="37"/>
        <v>597.25</v>
      </c>
    </row>
    <row r="502" ht="14.25" customHeight="1">
      <c r="A502" s="599">
        <v>88247.0</v>
      </c>
      <c r="B502" s="600" t="s">
        <v>1170</v>
      </c>
      <c r="C502" s="601" t="s">
        <v>924</v>
      </c>
      <c r="D502" s="693">
        <v>44.644</v>
      </c>
      <c r="E502" s="826">
        <v>21.0</v>
      </c>
      <c r="F502" s="898" t="str">
        <f t="shared" si="37"/>
        <v>937.52</v>
      </c>
    </row>
    <row r="503" ht="14.25" customHeight="1">
      <c r="A503" s="899"/>
      <c r="B503" s="900"/>
      <c r="C503" s="901"/>
      <c r="D503" s="902"/>
      <c r="E503" s="860" t="s">
        <v>927</v>
      </c>
      <c r="F503" s="903" t="str">
        <f>SUM(F500:F502)</f>
        <v>2,742.09</v>
      </c>
    </row>
    <row r="504" ht="14.25" customHeight="1">
      <c r="A504" s="606"/>
      <c r="B504" s="690" t="s">
        <v>936</v>
      </c>
      <c r="C504" s="595" t="s">
        <v>919</v>
      </c>
      <c r="D504" s="596" t="s">
        <v>920</v>
      </c>
      <c r="E504" s="597" t="s">
        <v>921</v>
      </c>
      <c r="F504" s="598" t="s">
        <v>922</v>
      </c>
    </row>
    <row r="505" ht="14.25" customHeight="1">
      <c r="A505" s="599" t="s">
        <v>966</v>
      </c>
      <c r="B505" s="600" t="s">
        <v>1399</v>
      </c>
      <c r="C505" s="601" t="s">
        <v>46</v>
      </c>
      <c r="D505" s="915">
        <v>1.0</v>
      </c>
      <c r="E505" s="826" t="str">
        <f>C513</f>
        <v>603.32</v>
      </c>
      <c r="F505" s="898" t="str">
        <f>TRUNC(D505*E505,2)</f>
        <v>603.32</v>
      </c>
    </row>
    <row r="506" ht="14.25" customHeight="1">
      <c r="A506" s="905"/>
      <c r="B506" s="906"/>
      <c r="C506" s="907"/>
      <c r="D506" s="908"/>
      <c r="E506" s="860" t="s">
        <v>927</v>
      </c>
      <c r="F506" s="782" t="str">
        <f>SUM(F503,F505)</f>
        <v>3,345.41</v>
      </c>
    </row>
    <row r="507" ht="14.25" customHeight="1">
      <c r="A507" s="616"/>
      <c r="B507" s="808" t="s">
        <v>928</v>
      </c>
      <c r="C507" s="28"/>
      <c r="D507" s="28"/>
      <c r="E507" s="618"/>
      <c r="F507" s="619" t="str">
        <f>F503+F506</f>
        <v>6,087.50</v>
      </c>
    </row>
    <row r="508" ht="14.25" customHeight="1">
      <c r="A508" s="730"/>
      <c r="B508" s="911" t="s">
        <v>971</v>
      </c>
      <c r="C508" s="107"/>
      <c r="D508" s="107"/>
      <c r="E508" s="555"/>
      <c r="F508" s="734"/>
    </row>
    <row r="509" ht="14.25" customHeight="1">
      <c r="A509" s="735" t="s">
        <v>972</v>
      </c>
      <c r="B509" s="597" t="s">
        <v>973</v>
      </c>
      <c r="C509" s="736" t="s">
        <v>974</v>
      </c>
      <c r="D509" s="737" t="s">
        <v>975</v>
      </c>
      <c r="E509" s="41"/>
      <c r="F509" s="738" t="s">
        <v>976</v>
      </c>
    </row>
    <row r="510" ht="14.25" customHeight="1">
      <c r="A510" s="740">
        <v>44869.0</v>
      </c>
      <c r="B510" s="600" t="s">
        <v>1296</v>
      </c>
      <c r="C510" s="605">
        <v>603.32</v>
      </c>
      <c r="D510" s="347" t="s">
        <v>1176</v>
      </c>
      <c r="E510" s="41"/>
      <c r="F510" s="917" t="s">
        <v>1338</v>
      </c>
    </row>
    <row r="511" ht="14.25" customHeight="1">
      <c r="A511" s="740">
        <v>44872.0</v>
      </c>
      <c r="B511" s="600" t="s">
        <v>1230</v>
      </c>
      <c r="C511" s="605">
        <v>503.54</v>
      </c>
      <c r="D511" s="347" t="s">
        <v>1211</v>
      </c>
      <c r="E511" s="41"/>
      <c r="F511" s="993" t="s">
        <v>1232</v>
      </c>
      <c r="I511" s="623"/>
      <c r="J511" s="298"/>
    </row>
    <row r="512" ht="14.25" customHeight="1">
      <c r="A512" s="740">
        <v>44872.0</v>
      </c>
      <c r="B512" s="600" t="s">
        <v>1400</v>
      </c>
      <c r="C512" s="605">
        <v>688.96</v>
      </c>
      <c r="D512" s="347" t="s">
        <v>1401</v>
      </c>
      <c r="E512" s="41"/>
      <c r="F512" s="993" t="s">
        <v>1402</v>
      </c>
      <c r="I512" s="623" t="s">
        <v>1403</v>
      </c>
      <c r="J512" s="298"/>
    </row>
    <row r="513" ht="14.25" customHeight="1">
      <c r="A513" s="720"/>
      <c r="B513" s="721" t="s">
        <v>986</v>
      </c>
      <c r="C513" s="722" t="str">
        <f>MEDIAN(C510:C512)</f>
        <v>603.32</v>
      </c>
      <c r="D513" s="723"/>
      <c r="E513" s="712"/>
      <c r="F513" s="724"/>
    </row>
    <row r="514" ht="14.25" customHeight="1">
      <c r="A514" s="335"/>
      <c r="B514" s="744"/>
      <c r="C514" s="745"/>
      <c r="D514" s="624"/>
      <c r="E514" s="624"/>
      <c r="F514" s="335"/>
    </row>
    <row r="515" ht="14.25" customHeight="1">
      <c r="A515" s="888" t="s">
        <v>514</v>
      </c>
      <c r="B515" s="889" t="s">
        <v>1404</v>
      </c>
      <c r="C515" s="775" t="s">
        <v>69</v>
      </c>
      <c r="D515" s="890"/>
      <c r="E515" s="890"/>
      <c r="F515" s="891"/>
    </row>
    <row r="516" ht="14.25" customHeight="1">
      <c r="A516" s="921" t="s">
        <v>1405</v>
      </c>
      <c r="B516" s="107"/>
      <c r="C516" s="107"/>
      <c r="D516" s="107"/>
      <c r="E516" s="107"/>
      <c r="F516" s="781"/>
      <c r="H516" s="82" t="s">
        <v>1167</v>
      </c>
    </row>
    <row r="517" ht="14.25" customHeight="1">
      <c r="A517" s="895"/>
      <c r="B517" s="896" t="s">
        <v>1168</v>
      </c>
      <c r="C517" s="643" t="s">
        <v>919</v>
      </c>
      <c r="D517" s="644" t="s">
        <v>920</v>
      </c>
      <c r="E517" s="897" t="s">
        <v>1169</v>
      </c>
      <c r="F517" s="729" t="s">
        <v>922</v>
      </c>
    </row>
    <row r="518" ht="14.25" customHeight="1">
      <c r="A518" s="174">
        <v>88264.0</v>
      </c>
      <c r="B518" s="600" t="s">
        <v>944</v>
      </c>
      <c r="C518" s="601" t="s">
        <v>924</v>
      </c>
      <c r="D518" s="693">
        <v>0.15</v>
      </c>
      <c r="E518" s="636">
        <v>25.54</v>
      </c>
      <c r="F518" s="898" t="str">
        <f t="shared" ref="F518:F519" si="38">TRUNC(D518*E518,2)</f>
        <v>3.83</v>
      </c>
    </row>
    <row r="519" ht="14.25" customHeight="1">
      <c r="A519" s="960">
        <v>88247.0</v>
      </c>
      <c r="B519" s="600" t="s">
        <v>1170</v>
      </c>
      <c r="C519" s="601" t="s">
        <v>924</v>
      </c>
      <c r="D519" s="693">
        <v>0.15</v>
      </c>
      <c r="E519" s="826">
        <v>21.0</v>
      </c>
      <c r="F519" s="898" t="str">
        <f t="shared" si="38"/>
        <v>3.15</v>
      </c>
    </row>
    <row r="520" ht="14.25" customHeight="1">
      <c r="A520" s="899"/>
      <c r="B520" s="900"/>
      <c r="C520" s="901"/>
      <c r="D520" s="902"/>
      <c r="E520" s="860" t="s">
        <v>927</v>
      </c>
      <c r="F520" s="910" t="str">
        <f>SUM(F518:F519)</f>
        <v>6.98</v>
      </c>
    </row>
    <row r="521" ht="14.25" customHeight="1">
      <c r="A521" s="606"/>
      <c r="B521" s="690" t="s">
        <v>936</v>
      </c>
      <c r="C521" s="595" t="s">
        <v>919</v>
      </c>
      <c r="D521" s="596" t="s">
        <v>920</v>
      </c>
      <c r="E521" s="597" t="s">
        <v>921</v>
      </c>
      <c r="F521" s="598" t="s">
        <v>922</v>
      </c>
    </row>
    <row r="522" ht="14.25" customHeight="1">
      <c r="A522" s="960" t="s">
        <v>966</v>
      </c>
      <c r="B522" s="600" t="s">
        <v>1406</v>
      </c>
      <c r="C522" s="601" t="s">
        <v>69</v>
      </c>
      <c r="D522" s="904">
        <v>1.0</v>
      </c>
      <c r="E522" s="826" t="str">
        <f>C530</f>
        <v>3.18</v>
      </c>
      <c r="F522" s="898" t="str">
        <f>TRUNC(D522*E522,2)</f>
        <v>3.18</v>
      </c>
    </row>
    <row r="523" ht="14.25" customHeight="1">
      <c r="A523" s="905"/>
      <c r="B523" s="906"/>
      <c r="C523" s="907"/>
      <c r="D523" s="908"/>
      <c r="E523" s="860" t="s">
        <v>927</v>
      </c>
      <c r="F523" s="689" t="str">
        <f>SUM(F522)</f>
        <v>3.18</v>
      </c>
    </row>
    <row r="524" ht="14.25" customHeight="1">
      <c r="A524" s="616"/>
      <c r="B524" s="808" t="s">
        <v>928</v>
      </c>
      <c r="C524" s="28"/>
      <c r="D524" s="28"/>
      <c r="E524" s="618"/>
      <c r="F524" s="869" t="str">
        <f>F520+F523</f>
        <v>10.16</v>
      </c>
    </row>
    <row r="525" ht="14.25" customHeight="1">
      <c r="A525" s="730"/>
      <c r="B525" s="731" t="s">
        <v>1407</v>
      </c>
      <c r="C525" s="732"/>
      <c r="D525" s="732"/>
      <c r="E525" s="733"/>
      <c r="F525" s="734"/>
    </row>
    <row r="526" ht="14.25" customHeight="1">
      <c r="A526" s="735" t="s">
        <v>972</v>
      </c>
      <c r="B526" s="597" t="s">
        <v>973</v>
      </c>
      <c r="C526" s="736" t="s">
        <v>974</v>
      </c>
      <c r="D526" s="737" t="s">
        <v>975</v>
      </c>
      <c r="E526" s="41"/>
      <c r="F526" s="738" t="s">
        <v>976</v>
      </c>
    </row>
    <row r="527" ht="14.25" customHeight="1">
      <c r="A527" s="740">
        <v>44859.0</v>
      </c>
      <c r="B527" s="600" t="s">
        <v>1247</v>
      </c>
      <c r="C527" s="605">
        <v>5.46</v>
      </c>
      <c r="D527" s="347" t="s">
        <v>1248</v>
      </c>
      <c r="E527" s="41"/>
      <c r="F527" s="917" t="s">
        <v>1408</v>
      </c>
      <c r="I527" s="204" t="s">
        <v>1409</v>
      </c>
    </row>
    <row r="528" ht="14.25" customHeight="1">
      <c r="A528" s="740">
        <v>44859.0</v>
      </c>
      <c r="B528" s="600" t="s">
        <v>1196</v>
      </c>
      <c r="C528" s="605">
        <v>1.37</v>
      </c>
      <c r="D528" s="347" t="s">
        <v>1197</v>
      </c>
      <c r="E528" s="41"/>
      <c r="F528" s="917" t="s">
        <v>1198</v>
      </c>
      <c r="I528" s="273" t="s">
        <v>1410</v>
      </c>
      <c r="J528" s="348"/>
    </row>
    <row r="529" ht="14.25" customHeight="1">
      <c r="A529" s="740">
        <v>44869.0</v>
      </c>
      <c r="B529" s="600" t="s">
        <v>1329</v>
      </c>
      <c r="C529" s="605">
        <v>3.18</v>
      </c>
      <c r="D529" s="347" t="s">
        <v>1330</v>
      </c>
      <c r="E529" s="41"/>
      <c r="F529" s="917" t="s">
        <v>1319</v>
      </c>
      <c r="I529" s="273" t="s">
        <v>1411</v>
      </c>
    </row>
    <row r="530" ht="14.25" customHeight="1">
      <c r="A530" s="720"/>
      <c r="B530" s="721" t="s">
        <v>986</v>
      </c>
      <c r="C530" s="722" t="str">
        <f>MEDIAN(C527:C529)</f>
        <v>3.18</v>
      </c>
      <c r="D530" s="723"/>
      <c r="E530" s="712"/>
      <c r="F530" s="724"/>
    </row>
    <row r="531" ht="14.25" customHeight="1">
      <c r="A531" s="335"/>
      <c r="B531" s="744"/>
      <c r="C531" s="745"/>
      <c r="D531" s="624"/>
      <c r="E531" s="624"/>
      <c r="F531" s="335"/>
    </row>
    <row r="532" ht="14.25" customHeight="1">
      <c r="A532" s="657" t="s">
        <v>371</v>
      </c>
      <c r="B532" s="966" t="s">
        <v>372</v>
      </c>
      <c r="C532" s="589" t="s">
        <v>46</v>
      </c>
      <c r="D532" s="967"/>
      <c r="E532" s="967"/>
      <c r="F532" s="968"/>
    </row>
    <row r="533" ht="15.0" customHeight="1">
      <c r="A533" s="978" t="s">
        <v>1395</v>
      </c>
      <c r="B533" s="561"/>
      <c r="C533" s="561"/>
      <c r="D533" s="561"/>
      <c r="E533" s="561"/>
      <c r="F533" s="124"/>
      <c r="H533" s="82" t="s">
        <v>1167</v>
      </c>
    </row>
    <row r="534" ht="14.25" customHeight="1">
      <c r="A534" s="895"/>
      <c r="B534" s="896" t="s">
        <v>1168</v>
      </c>
      <c r="C534" s="643" t="s">
        <v>919</v>
      </c>
      <c r="D534" s="644" t="s">
        <v>920</v>
      </c>
      <c r="E534" s="897" t="s">
        <v>1169</v>
      </c>
      <c r="F534" s="729" t="s">
        <v>922</v>
      </c>
    </row>
    <row r="535" ht="14.25" customHeight="1">
      <c r="A535" s="174">
        <v>88264.0</v>
      </c>
      <c r="B535" s="600" t="s">
        <v>944</v>
      </c>
      <c r="C535" s="601" t="s">
        <v>924</v>
      </c>
      <c r="D535" s="665">
        <v>0.3523</v>
      </c>
      <c r="E535" s="636">
        <v>25.54</v>
      </c>
      <c r="F535" s="898" t="str">
        <f t="shared" ref="F535:F536" si="39">TRUNC(D535*E535,2)</f>
        <v>8.99</v>
      </c>
    </row>
    <row r="536" ht="14.25" customHeight="1">
      <c r="A536" s="960">
        <v>88247.0</v>
      </c>
      <c r="B536" s="600" t="s">
        <v>1170</v>
      </c>
      <c r="C536" s="601" t="s">
        <v>924</v>
      </c>
      <c r="D536" s="665">
        <v>0.3523</v>
      </c>
      <c r="E536" s="826">
        <v>21.0</v>
      </c>
      <c r="F536" s="898" t="str">
        <f t="shared" si="39"/>
        <v>7.39</v>
      </c>
    </row>
    <row r="537" ht="14.25" customHeight="1">
      <c r="A537" s="899"/>
      <c r="B537" s="900"/>
      <c r="C537" s="901"/>
      <c r="D537" s="902"/>
      <c r="E537" s="860" t="s">
        <v>927</v>
      </c>
      <c r="F537" s="910" t="str">
        <f>SUM(F535:F536)</f>
        <v>16.38</v>
      </c>
    </row>
    <row r="538" ht="14.25" customHeight="1">
      <c r="A538" s="606"/>
      <c r="B538" s="690" t="s">
        <v>936</v>
      </c>
      <c r="C538" s="595" t="s">
        <v>919</v>
      </c>
      <c r="D538" s="596" t="s">
        <v>920</v>
      </c>
      <c r="E538" s="597" t="s">
        <v>921</v>
      </c>
      <c r="F538" s="598" t="s">
        <v>922</v>
      </c>
    </row>
    <row r="539" ht="14.25" customHeight="1">
      <c r="A539" s="663">
        <v>39331.0</v>
      </c>
      <c r="B539" s="600" t="s">
        <v>1412</v>
      </c>
      <c r="C539" s="601" t="s">
        <v>46</v>
      </c>
      <c r="D539" s="904">
        <v>1.0</v>
      </c>
      <c r="E539" s="826">
        <v>10.17</v>
      </c>
      <c r="F539" s="898" t="str">
        <f t="shared" ref="F539:F540" si="40">TRUNC(D539*E539,2)</f>
        <v>10.17</v>
      </c>
    </row>
    <row r="540" ht="14.25" customHeight="1">
      <c r="A540" s="674">
        <v>11950.0</v>
      </c>
      <c r="B540" s="709" t="s">
        <v>1163</v>
      </c>
      <c r="C540" s="675" t="s">
        <v>46</v>
      </c>
      <c r="D540" s="994">
        <v>2.0</v>
      </c>
      <c r="E540" s="648">
        <v>0.2</v>
      </c>
      <c r="F540" s="995" t="str">
        <f t="shared" si="40"/>
        <v>0.40</v>
      </c>
    </row>
    <row r="541" ht="14.25" customHeight="1">
      <c r="A541" s="996"/>
      <c r="B541" s="997"/>
      <c r="C541" s="998"/>
      <c r="D541" s="999"/>
      <c r="E541" s="1000" t="s">
        <v>927</v>
      </c>
      <c r="F541" s="1001" t="str">
        <f>SUM(F539:F540)</f>
        <v>10.57</v>
      </c>
    </row>
    <row r="542" ht="14.25" customHeight="1">
      <c r="A542" s="611"/>
      <c r="B542" s="612" t="s">
        <v>928</v>
      </c>
      <c r="C542" s="613"/>
      <c r="D542" s="613"/>
      <c r="E542" s="614"/>
      <c r="F542" s="615" t="str">
        <f>F537+F541</f>
        <v>26.95</v>
      </c>
    </row>
    <row r="543" ht="14.25" customHeight="1">
      <c r="A543" s="335"/>
      <c r="B543" s="744"/>
      <c r="C543" s="745"/>
      <c r="D543" s="624"/>
      <c r="E543" s="624"/>
      <c r="F543" s="335"/>
    </row>
    <row r="544" ht="14.25" customHeight="1">
      <c r="A544" s="657" t="s">
        <v>383</v>
      </c>
      <c r="B544" s="966" t="s">
        <v>384</v>
      </c>
      <c r="C544" s="589" t="s">
        <v>46</v>
      </c>
      <c r="D544" s="967"/>
      <c r="E544" s="967"/>
      <c r="F544" s="968"/>
    </row>
    <row r="545" ht="15.0" customHeight="1">
      <c r="A545" s="978" t="s">
        <v>1395</v>
      </c>
      <c r="B545" s="561"/>
      <c r="C545" s="561"/>
      <c r="D545" s="561"/>
      <c r="E545" s="561"/>
      <c r="F545" s="124"/>
      <c r="H545" s="909" t="s">
        <v>1167</v>
      </c>
    </row>
    <row r="546" ht="14.25" customHeight="1">
      <c r="A546" s="895"/>
      <c r="B546" s="896" t="s">
        <v>1168</v>
      </c>
      <c r="C546" s="643" t="s">
        <v>919</v>
      </c>
      <c r="D546" s="644" t="s">
        <v>920</v>
      </c>
      <c r="E546" s="897" t="s">
        <v>1169</v>
      </c>
      <c r="F546" s="729" t="s">
        <v>922</v>
      </c>
    </row>
    <row r="547" ht="14.25" customHeight="1">
      <c r="A547" s="174">
        <v>88264.0</v>
      </c>
      <c r="B547" s="600" t="s">
        <v>944</v>
      </c>
      <c r="C547" s="601" t="s">
        <v>924</v>
      </c>
      <c r="D547" s="665">
        <v>0.3523</v>
      </c>
      <c r="E547" s="636">
        <v>25.54</v>
      </c>
      <c r="F547" s="898" t="str">
        <f t="shared" ref="F547:F548" si="41">TRUNC(D547*E547,2)</f>
        <v>8.99</v>
      </c>
    </row>
    <row r="548" ht="14.25" customHeight="1">
      <c r="A548" s="960">
        <v>88247.0</v>
      </c>
      <c r="B548" s="600" t="s">
        <v>1170</v>
      </c>
      <c r="C548" s="601" t="s">
        <v>924</v>
      </c>
      <c r="D548" s="665">
        <v>0.3523</v>
      </c>
      <c r="E548" s="826">
        <v>21.0</v>
      </c>
      <c r="F548" s="898" t="str">
        <f t="shared" si="41"/>
        <v>7.39</v>
      </c>
    </row>
    <row r="549" ht="14.25" customHeight="1">
      <c r="A549" s="899"/>
      <c r="B549" s="900"/>
      <c r="C549" s="901"/>
      <c r="D549" s="902"/>
      <c r="E549" s="860" t="s">
        <v>927</v>
      </c>
      <c r="F549" s="910" t="str">
        <f>SUM(F547:F548)</f>
        <v>16.38</v>
      </c>
    </row>
    <row r="550" ht="14.25" customHeight="1">
      <c r="A550" s="606"/>
      <c r="B550" s="690" t="s">
        <v>936</v>
      </c>
      <c r="C550" s="595" t="s">
        <v>919</v>
      </c>
      <c r="D550" s="596" t="s">
        <v>920</v>
      </c>
      <c r="E550" s="597" t="s">
        <v>921</v>
      </c>
      <c r="F550" s="598" t="s">
        <v>922</v>
      </c>
    </row>
    <row r="551" ht="17.25" customHeight="1">
      <c r="A551" s="691">
        <v>12020.0</v>
      </c>
      <c r="B551" s="600" t="s">
        <v>1413</v>
      </c>
      <c r="C551" s="601" t="s">
        <v>46</v>
      </c>
      <c r="D551" s="904">
        <v>1.0</v>
      </c>
      <c r="E551" s="826">
        <v>11.45</v>
      </c>
      <c r="F551" s="898" t="str">
        <f t="shared" ref="F551:F552" si="42">TRUNC(D551*E551,2)</f>
        <v>11.45</v>
      </c>
    </row>
    <row r="552" ht="14.25" customHeight="1">
      <c r="A552" s="663">
        <v>11950.0</v>
      </c>
      <c r="B552" s="600" t="s">
        <v>1163</v>
      </c>
      <c r="C552" s="601" t="s">
        <v>46</v>
      </c>
      <c r="D552" s="904">
        <v>2.0</v>
      </c>
      <c r="E552" s="636">
        <v>0.2</v>
      </c>
      <c r="F552" s="898" t="str">
        <f t="shared" si="42"/>
        <v>0.40</v>
      </c>
    </row>
    <row r="553" ht="14.25" customHeight="1">
      <c r="A553" s="976"/>
      <c r="B553" s="398"/>
      <c r="C553" s="901"/>
      <c r="D553" s="902"/>
      <c r="E553" s="1002" t="s">
        <v>927</v>
      </c>
      <c r="F553" s="610" t="str">
        <f>SUM(F551:F552)</f>
        <v>11.85</v>
      </c>
    </row>
    <row r="554" ht="14.25" customHeight="1">
      <c r="A554" s="611"/>
      <c r="B554" s="612" t="s">
        <v>928</v>
      </c>
      <c r="C554" s="613"/>
      <c r="D554" s="613"/>
      <c r="E554" s="614"/>
      <c r="F554" s="615" t="str">
        <f>F549+F553</f>
        <v>28.23</v>
      </c>
    </row>
    <row r="555" ht="14.25" customHeight="1">
      <c r="A555" s="335"/>
      <c r="B555" s="744"/>
      <c r="C555" s="745"/>
      <c r="D555" s="624"/>
      <c r="E555" s="624"/>
      <c r="F555" s="335"/>
    </row>
    <row r="556" ht="14.25" customHeight="1">
      <c r="A556" s="657" t="s">
        <v>377</v>
      </c>
      <c r="B556" s="966" t="s">
        <v>378</v>
      </c>
      <c r="C556" s="589" t="s">
        <v>46</v>
      </c>
      <c r="D556" s="967"/>
      <c r="E556" s="967"/>
      <c r="F556" s="968"/>
    </row>
    <row r="557" ht="15.0" customHeight="1">
      <c r="A557" s="978" t="s">
        <v>1395</v>
      </c>
      <c r="B557" s="561"/>
      <c r="C557" s="561"/>
      <c r="D557" s="561"/>
      <c r="E557" s="561"/>
      <c r="F557" s="124"/>
      <c r="H557" s="909" t="s">
        <v>1167</v>
      </c>
    </row>
    <row r="558" ht="14.25" customHeight="1">
      <c r="A558" s="895"/>
      <c r="B558" s="896" t="s">
        <v>1168</v>
      </c>
      <c r="C558" s="643" t="s">
        <v>919</v>
      </c>
      <c r="D558" s="644" t="s">
        <v>920</v>
      </c>
      <c r="E558" s="897" t="s">
        <v>1169</v>
      </c>
      <c r="F558" s="729" t="s">
        <v>922</v>
      </c>
    </row>
    <row r="559" ht="14.25" customHeight="1">
      <c r="A559" s="174">
        <v>88264.0</v>
      </c>
      <c r="B559" s="600" t="s">
        <v>944</v>
      </c>
      <c r="C559" s="601" t="s">
        <v>924</v>
      </c>
      <c r="D559" s="665">
        <v>0.3523</v>
      </c>
      <c r="E559" s="636">
        <v>25.54</v>
      </c>
      <c r="F559" s="898" t="str">
        <f t="shared" ref="F559:F560" si="43">TRUNC(D559*E559,2)</f>
        <v>8.99</v>
      </c>
    </row>
    <row r="560" ht="14.25" customHeight="1">
      <c r="A560" s="960">
        <v>88247.0</v>
      </c>
      <c r="B560" s="600" t="s">
        <v>1170</v>
      </c>
      <c r="C560" s="601" t="s">
        <v>924</v>
      </c>
      <c r="D560" s="665">
        <v>0.3523</v>
      </c>
      <c r="E560" s="826">
        <v>21.0</v>
      </c>
      <c r="F560" s="898" t="str">
        <f t="shared" si="43"/>
        <v>7.39</v>
      </c>
    </row>
    <row r="561" ht="14.25" customHeight="1">
      <c r="A561" s="899"/>
      <c r="B561" s="900"/>
      <c r="C561" s="901"/>
      <c r="D561" s="902"/>
      <c r="E561" s="860" t="s">
        <v>927</v>
      </c>
      <c r="F561" s="910" t="str">
        <f>SUM(F559:F560)</f>
        <v>16.38</v>
      </c>
    </row>
    <row r="562" ht="14.25" customHeight="1">
      <c r="A562" s="606"/>
      <c r="B562" s="690" t="s">
        <v>936</v>
      </c>
      <c r="C562" s="595" t="s">
        <v>919</v>
      </c>
      <c r="D562" s="596" t="s">
        <v>920</v>
      </c>
      <c r="E562" s="597" t="s">
        <v>921</v>
      </c>
      <c r="F562" s="598" t="s">
        <v>922</v>
      </c>
    </row>
    <row r="563" ht="14.25" customHeight="1">
      <c r="A563" s="691">
        <v>39337.0</v>
      </c>
      <c r="B563" s="600" t="s">
        <v>1414</v>
      </c>
      <c r="C563" s="601" t="s">
        <v>46</v>
      </c>
      <c r="D563" s="904">
        <v>1.0</v>
      </c>
      <c r="E563" s="826">
        <v>10.17</v>
      </c>
      <c r="F563" s="898" t="str">
        <f t="shared" ref="F563:F564" si="44">TRUNC(D563*E563,2)</f>
        <v>10.17</v>
      </c>
    </row>
    <row r="564" ht="14.25" customHeight="1">
      <c r="A564" s="663">
        <v>11950.0</v>
      </c>
      <c r="B564" s="600" t="s">
        <v>1163</v>
      </c>
      <c r="C564" s="601" t="s">
        <v>46</v>
      </c>
      <c r="D564" s="904">
        <v>2.0</v>
      </c>
      <c r="E564" s="636">
        <v>0.2</v>
      </c>
      <c r="F564" s="898" t="str">
        <f t="shared" si="44"/>
        <v>0.40</v>
      </c>
    </row>
    <row r="565" ht="14.25" customHeight="1">
      <c r="A565" s="976"/>
      <c r="B565" s="398"/>
      <c r="C565" s="901"/>
      <c r="D565" s="902"/>
      <c r="E565" s="1002" t="s">
        <v>927</v>
      </c>
      <c r="F565" s="610" t="str">
        <f>SUM(F563:F564)</f>
        <v>10.57</v>
      </c>
    </row>
    <row r="566" ht="14.25" customHeight="1">
      <c r="A566" s="611"/>
      <c r="B566" s="612" t="s">
        <v>928</v>
      </c>
      <c r="C566" s="613"/>
      <c r="D566" s="613"/>
      <c r="E566" s="614"/>
      <c r="F566" s="615" t="str">
        <f>F561+F565</f>
        <v>26.95</v>
      </c>
    </row>
    <row r="567" ht="14.25" customHeight="1">
      <c r="A567" s="323"/>
      <c r="B567" s="878"/>
      <c r="C567" s="878"/>
      <c r="D567" s="878"/>
      <c r="E567" s="878"/>
      <c r="F567" s="879"/>
    </row>
    <row r="568" ht="14.25" customHeight="1">
      <c r="A568" s="657" t="s">
        <v>380</v>
      </c>
      <c r="B568" s="966" t="s">
        <v>381</v>
      </c>
      <c r="C568" s="589" t="s">
        <v>46</v>
      </c>
      <c r="D568" s="967"/>
      <c r="E568" s="967"/>
      <c r="F568" s="968"/>
    </row>
    <row r="569" ht="15.0" customHeight="1">
      <c r="A569" s="978" t="s">
        <v>1395</v>
      </c>
      <c r="B569" s="561"/>
      <c r="C569" s="561"/>
      <c r="D569" s="561"/>
      <c r="E569" s="561"/>
      <c r="F569" s="124"/>
      <c r="H569" s="82" t="s">
        <v>1167</v>
      </c>
    </row>
    <row r="570" ht="14.25" customHeight="1">
      <c r="A570" s="895"/>
      <c r="B570" s="896" t="s">
        <v>1168</v>
      </c>
      <c r="C570" s="643" t="s">
        <v>919</v>
      </c>
      <c r="D570" s="644" t="s">
        <v>920</v>
      </c>
      <c r="E570" s="897" t="s">
        <v>1169</v>
      </c>
      <c r="F570" s="729" t="s">
        <v>922</v>
      </c>
    </row>
    <row r="571" ht="14.25" customHeight="1">
      <c r="A571" s="174">
        <v>88264.0</v>
      </c>
      <c r="B571" s="600" t="s">
        <v>944</v>
      </c>
      <c r="C571" s="601" t="s">
        <v>924</v>
      </c>
      <c r="D571" s="665">
        <v>0.3523</v>
      </c>
      <c r="E571" s="636">
        <v>25.54</v>
      </c>
      <c r="F571" s="898" t="str">
        <f t="shared" ref="F571:F572" si="45">TRUNC(D571*E571,2)</f>
        <v>8.99</v>
      </c>
    </row>
    <row r="572" ht="14.25" customHeight="1">
      <c r="A572" s="960">
        <v>88247.0</v>
      </c>
      <c r="B572" s="600" t="s">
        <v>1170</v>
      </c>
      <c r="C572" s="601" t="s">
        <v>924</v>
      </c>
      <c r="D572" s="665">
        <v>0.3523</v>
      </c>
      <c r="E572" s="826">
        <v>21.0</v>
      </c>
      <c r="F572" s="898" t="str">
        <f t="shared" si="45"/>
        <v>7.39</v>
      </c>
    </row>
    <row r="573" ht="14.25" customHeight="1">
      <c r="A573" s="899"/>
      <c r="B573" s="900"/>
      <c r="C573" s="901"/>
      <c r="D573" s="902"/>
      <c r="E573" s="860" t="s">
        <v>927</v>
      </c>
      <c r="F573" s="910" t="str">
        <f>SUM(F571:F572)</f>
        <v>16.38</v>
      </c>
    </row>
    <row r="574" ht="14.25" customHeight="1">
      <c r="A574" s="606"/>
      <c r="B574" s="690" t="s">
        <v>936</v>
      </c>
      <c r="C574" s="595" t="s">
        <v>919</v>
      </c>
      <c r="D574" s="596" t="s">
        <v>920</v>
      </c>
      <c r="E574" s="597" t="s">
        <v>921</v>
      </c>
      <c r="F574" s="598" t="s">
        <v>922</v>
      </c>
    </row>
    <row r="575" ht="14.25" customHeight="1">
      <c r="A575" s="663">
        <v>39338.0</v>
      </c>
      <c r="B575" s="600" t="s">
        <v>1415</v>
      </c>
      <c r="C575" s="601" t="s">
        <v>46</v>
      </c>
      <c r="D575" s="904">
        <v>1.0</v>
      </c>
      <c r="E575" s="826">
        <v>12.78</v>
      </c>
      <c r="F575" s="898" t="str">
        <f t="shared" ref="F575:F576" si="46">TRUNC(D575*E575,2)</f>
        <v>12.78</v>
      </c>
    </row>
    <row r="576" ht="14.25" customHeight="1">
      <c r="A576" s="663">
        <v>11950.0</v>
      </c>
      <c r="B576" s="600" t="s">
        <v>1163</v>
      </c>
      <c r="C576" s="601" t="s">
        <v>46</v>
      </c>
      <c r="D576" s="904">
        <v>2.0</v>
      </c>
      <c r="E576" s="636">
        <v>0.2</v>
      </c>
      <c r="F576" s="898" t="str">
        <f t="shared" si="46"/>
        <v>0.40</v>
      </c>
    </row>
    <row r="577" ht="14.25" customHeight="1">
      <c r="A577" s="976"/>
      <c r="B577" s="398"/>
      <c r="C577" s="901"/>
      <c r="D577" s="902"/>
      <c r="E577" s="1002" t="s">
        <v>927</v>
      </c>
      <c r="F577" s="610" t="str">
        <f>SUM(F575:F576)</f>
        <v>13.18</v>
      </c>
    </row>
    <row r="578" ht="14.25" customHeight="1">
      <c r="A578" s="611"/>
      <c r="B578" s="612" t="s">
        <v>928</v>
      </c>
      <c r="C578" s="613"/>
      <c r="D578" s="613"/>
      <c r="E578" s="614"/>
      <c r="F578" s="615" t="str">
        <f>F573+F577</f>
        <v>29.56</v>
      </c>
      <c r="I578" s="892"/>
    </row>
    <row r="579" ht="15.0" customHeight="1">
      <c r="A579" s="323"/>
      <c r="B579" s="878"/>
      <c r="C579" s="878"/>
      <c r="D579" s="878"/>
      <c r="E579" s="878"/>
      <c r="F579" s="879"/>
    </row>
    <row r="580" ht="14.25" customHeight="1">
      <c r="A580" s="657" t="s">
        <v>374</v>
      </c>
      <c r="B580" s="966" t="s">
        <v>375</v>
      </c>
      <c r="C580" s="589" t="s">
        <v>46</v>
      </c>
      <c r="D580" s="967"/>
      <c r="E580" s="967"/>
      <c r="F580" s="968"/>
      <c r="H580" s="82"/>
    </row>
    <row r="581" ht="15.0" customHeight="1">
      <c r="A581" s="978" t="s">
        <v>1395</v>
      </c>
      <c r="B581" s="561"/>
      <c r="C581" s="561"/>
      <c r="D581" s="561"/>
      <c r="E581" s="561"/>
      <c r="F581" s="124"/>
      <c r="H581" s="82" t="s">
        <v>1167</v>
      </c>
    </row>
    <row r="582" ht="14.25" customHeight="1">
      <c r="A582" s="895"/>
      <c r="B582" s="896" t="s">
        <v>1168</v>
      </c>
      <c r="C582" s="643" t="s">
        <v>919</v>
      </c>
      <c r="D582" s="644" t="s">
        <v>920</v>
      </c>
      <c r="E582" s="897" t="s">
        <v>1169</v>
      </c>
      <c r="F582" s="729" t="s">
        <v>922</v>
      </c>
    </row>
    <row r="583" ht="14.25" customHeight="1">
      <c r="A583" s="174">
        <v>88264.0</v>
      </c>
      <c r="B583" s="600" t="s">
        <v>944</v>
      </c>
      <c r="C583" s="601" t="s">
        <v>924</v>
      </c>
      <c r="D583" s="665">
        <v>0.3523</v>
      </c>
      <c r="E583" s="636">
        <v>25.54</v>
      </c>
      <c r="F583" s="898" t="str">
        <f t="shared" ref="F583:F584" si="47">TRUNC(D583*E583,2)</f>
        <v>8.99</v>
      </c>
    </row>
    <row r="584" ht="14.25" customHeight="1">
      <c r="A584" s="960">
        <v>88247.0</v>
      </c>
      <c r="B584" s="600" t="s">
        <v>1170</v>
      </c>
      <c r="C584" s="601" t="s">
        <v>924</v>
      </c>
      <c r="D584" s="665">
        <v>0.3523</v>
      </c>
      <c r="E584" s="826">
        <v>21.0</v>
      </c>
      <c r="F584" s="898" t="str">
        <f t="shared" si="47"/>
        <v>7.39</v>
      </c>
    </row>
    <row r="585" ht="14.25" customHeight="1">
      <c r="A585" s="899"/>
      <c r="B585" s="900"/>
      <c r="C585" s="901"/>
      <c r="D585" s="902"/>
      <c r="E585" s="860" t="s">
        <v>927</v>
      </c>
      <c r="F585" s="910" t="str">
        <f>SUM(F583:F584)</f>
        <v>16.38</v>
      </c>
    </row>
    <row r="586" ht="14.25" customHeight="1">
      <c r="A586" s="606"/>
      <c r="B586" s="690" t="s">
        <v>936</v>
      </c>
      <c r="C586" s="595" t="s">
        <v>919</v>
      </c>
      <c r="D586" s="596" t="s">
        <v>920</v>
      </c>
      <c r="E586" s="597" t="s">
        <v>921</v>
      </c>
      <c r="F586" s="598" t="s">
        <v>922</v>
      </c>
    </row>
    <row r="587" ht="14.25" customHeight="1">
      <c r="A587" s="663">
        <v>39341.0</v>
      </c>
      <c r="B587" s="1003" t="s">
        <v>1416</v>
      </c>
      <c r="C587" s="601" t="s">
        <v>46</v>
      </c>
      <c r="D587" s="904">
        <v>1.0</v>
      </c>
      <c r="E587" s="826">
        <v>16.66</v>
      </c>
      <c r="F587" s="898" t="str">
        <f t="shared" ref="F587:F588" si="48">TRUNC(D587*E587,2)</f>
        <v>16.66</v>
      </c>
    </row>
    <row r="588" ht="14.25" customHeight="1">
      <c r="A588" s="663">
        <v>11950.0</v>
      </c>
      <c r="B588" s="600" t="s">
        <v>1163</v>
      </c>
      <c r="C588" s="601" t="s">
        <v>46</v>
      </c>
      <c r="D588" s="904">
        <v>2.0</v>
      </c>
      <c r="E588" s="636">
        <v>0.2</v>
      </c>
      <c r="F588" s="898" t="str">
        <f t="shared" si="48"/>
        <v>0.40</v>
      </c>
    </row>
    <row r="589" ht="14.25" customHeight="1">
      <c r="A589" s="976"/>
      <c r="B589" s="398"/>
      <c r="C589" s="901"/>
      <c r="D589" s="902"/>
      <c r="E589" s="1002" t="s">
        <v>927</v>
      </c>
      <c r="F589" s="610" t="str">
        <f>SUM(F587:F588)</f>
        <v>17.06</v>
      </c>
    </row>
    <row r="590" ht="14.25" customHeight="1">
      <c r="A590" s="611"/>
      <c r="B590" s="612" t="s">
        <v>928</v>
      </c>
      <c r="C590" s="613"/>
      <c r="D590" s="613"/>
      <c r="E590" s="614"/>
      <c r="F590" s="615" t="str">
        <f>F585+F589</f>
        <v>33.44</v>
      </c>
    </row>
    <row r="591" ht="6.75" customHeight="1">
      <c r="A591" s="144"/>
      <c r="B591" s="95"/>
      <c r="C591" s="981"/>
      <c r="D591" s="982"/>
      <c r="E591" s="983"/>
      <c r="F591" s="773"/>
    </row>
  </sheetData>
  <mergeCells count="218">
    <mergeCell ref="B252:E252"/>
    <mergeCell ref="B263:E263"/>
    <mergeCell ref="A289:F289"/>
    <mergeCell ref="A272:F272"/>
    <mergeCell ref="A244:F244"/>
    <mergeCell ref="B230:E230"/>
    <mergeCell ref="D285:E285"/>
    <mergeCell ref="A233:F233"/>
    <mergeCell ref="A255:F255"/>
    <mergeCell ref="D266:E266"/>
    <mergeCell ref="B24:E24"/>
    <mergeCell ref="A27:F27"/>
    <mergeCell ref="B35:E35"/>
    <mergeCell ref="A44:F44"/>
    <mergeCell ref="B51:E51"/>
    <mergeCell ref="D73:E73"/>
    <mergeCell ref="B67:E67"/>
    <mergeCell ref="B68:E68"/>
    <mergeCell ref="D69:E69"/>
    <mergeCell ref="D70:E70"/>
    <mergeCell ref="D71:E71"/>
    <mergeCell ref="D72:E72"/>
    <mergeCell ref="A14:F14"/>
    <mergeCell ref="A16:F16"/>
    <mergeCell ref="D161:E161"/>
    <mergeCell ref="B162:E162"/>
    <mergeCell ref="A193:F193"/>
    <mergeCell ref="D186:E186"/>
    <mergeCell ref="D187:E187"/>
    <mergeCell ref="D188:E188"/>
    <mergeCell ref="D189:E189"/>
    <mergeCell ref="D190:E190"/>
    <mergeCell ref="B264:E264"/>
    <mergeCell ref="D265:E265"/>
    <mergeCell ref="D120:E120"/>
    <mergeCell ref="D121:E121"/>
    <mergeCell ref="D122:E122"/>
    <mergeCell ref="D123:E123"/>
    <mergeCell ref="D124:E124"/>
    <mergeCell ref="D159:E159"/>
    <mergeCell ref="D160:E160"/>
    <mergeCell ref="D139:E139"/>
    <mergeCell ref="D140:E140"/>
    <mergeCell ref="D141:E141"/>
    <mergeCell ref="A144:F144"/>
    <mergeCell ref="D157:E157"/>
    <mergeCell ref="B118:E118"/>
    <mergeCell ref="B119:E119"/>
    <mergeCell ref="D103:E103"/>
    <mergeCell ref="A127:F127"/>
    <mergeCell ref="D104:E104"/>
    <mergeCell ref="D105:E105"/>
    <mergeCell ref="D106:E106"/>
    <mergeCell ref="D107:E107"/>
    <mergeCell ref="A110:F110"/>
    <mergeCell ref="B36:E36"/>
    <mergeCell ref="D37:E37"/>
    <mergeCell ref="D38:E38"/>
    <mergeCell ref="D39:E39"/>
    <mergeCell ref="D40:E40"/>
    <mergeCell ref="D41:E41"/>
    <mergeCell ref="D86:E86"/>
    <mergeCell ref="B84:E84"/>
    <mergeCell ref="B85:E85"/>
    <mergeCell ref="B52:E52"/>
    <mergeCell ref="D53:E53"/>
    <mergeCell ref="D170:E170"/>
    <mergeCell ref="A204:F204"/>
    <mergeCell ref="A176:F176"/>
    <mergeCell ref="B135:E135"/>
    <mergeCell ref="B136:E136"/>
    <mergeCell ref="D137:E137"/>
    <mergeCell ref="D138:E138"/>
    <mergeCell ref="B507:E507"/>
    <mergeCell ref="B508:E508"/>
    <mergeCell ref="D509:E509"/>
    <mergeCell ref="D510:E510"/>
    <mergeCell ref="D511:E511"/>
    <mergeCell ref="D512:E512"/>
    <mergeCell ref="D513:E513"/>
    <mergeCell ref="D481:E481"/>
    <mergeCell ref="D482:E482"/>
    <mergeCell ref="B524:E524"/>
    <mergeCell ref="B525:E525"/>
    <mergeCell ref="D526:E526"/>
    <mergeCell ref="D527:E527"/>
    <mergeCell ref="D528:E528"/>
    <mergeCell ref="A352:F352"/>
    <mergeCell ref="A318:F318"/>
    <mergeCell ref="A335:F335"/>
    <mergeCell ref="D376:E376"/>
    <mergeCell ref="D377:E377"/>
    <mergeCell ref="B400:E400"/>
    <mergeCell ref="B399:E399"/>
    <mergeCell ref="A391:F391"/>
    <mergeCell ref="B388:E388"/>
    <mergeCell ref="D401:E401"/>
    <mergeCell ref="D402:E402"/>
    <mergeCell ref="D403:E403"/>
    <mergeCell ref="D404:E404"/>
    <mergeCell ref="D405:E405"/>
    <mergeCell ref="A363:F363"/>
    <mergeCell ref="A380:F380"/>
    <mergeCell ref="B360:E360"/>
    <mergeCell ref="B326:E326"/>
    <mergeCell ref="B327:E327"/>
    <mergeCell ref="D328:E328"/>
    <mergeCell ref="D329:E329"/>
    <mergeCell ref="D330:E330"/>
    <mergeCell ref="D331:E331"/>
    <mergeCell ref="D332:E332"/>
    <mergeCell ref="D286:E286"/>
    <mergeCell ref="B280:E280"/>
    <mergeCell ref="B281:E281"/>
    <mergeCell ref="D282:E282"/>
    <mergeCell ref="D283:E283"/>
    <mergeCell ref="D284:E284"/>
    <mergeCell ref="B201:E201"/>
    <mergeCell ref="B241:E241"/>
    <mergeCell ref="B211:E211"/>
    <mergeCell ref="D268:E268"/>
    <mergeCell ref="D269:E269"/>
    <mergeCell ref="D173:E173"/>
    <mergeCell ref="B184:E184"/>
    <mergeCell ref="D373:E373"/>
    <mergeCell ref="D374:E374"/>
    <mergeCell ref="D375:E375"/>
    <mergeCell ref="D166:E166"/>
    <mergeCell ref="D167:E167"/>
    <mergeCell ref="B168:E168"/>
    <mergeCell ref="D267:E267"/>
    <mergeCell ref="B185:E185"/>
    <mergeCell ref="D171:E171"/>
    <mergeCell ref="D172:E172"/>
    <mergeCell ref="B372:E372"/>
    <mergeCell ref="B371:E371"/>
    <mergeCell ref="B343:E343"/>
    <mergeCell ref="B344:E344"/>
    <mergeCell ref="D345:E345"/>
    <mergeCell ref="D346:E346"/>
    <mergeCell ref="D347:E347"/>
    <mergeCell ref="D348:E348"/>
    <mergeCell ref="D349:E349"/>
    <mergeCell ref="B297:E297"/>
    <mergeCell ref="B298:E298"/>
    <mergeCell ref="D299:E299"/>
    <mergeCell ref="D300:E300"/>
    <mergeCell ref="D301:E301"/>
    <mergeCell ref="D302:E302"/>
    <mergeCell ref="D303:E303"/>
    <mergeCell ref="B315:E315"/>
    <mergeCell ref="D56:E56"/>
    <mergeCell ref="D57:E57"/>
    <mergeCell ref="D55:E55"/>
    <mergeCell ref="D163:E163"/>
    <mergeCell ref="D164:E164"/>
    <mergeCell ref="D158:E158"/>
    <mergeCell ref="A214:F214"/>
    <mergeCell ref="D87:E87"/>
    <mergeCell ref="D90:E90"/>
    <mergeCell ref="A306:F306"/>
    <mergeCell ref="B3:F3"/>
    <mergeCell ref="B4:F4"/>
    <mergeCell ref="B5:F5"/>
    <mergeCell ref="A60:F60"/>
    <mergeCell ref="A76:F76"/>
    <mergeCell ref="D54:E54"/>
    <mergeCell ref="D169:E169"/>
    <mergeCell ref="A93:F93"/>
    <mergeCell ref="B101:E101"/>
    <mergeCell ref="B102:E102"/>
    <mergeCell ref="B155:E155"/>
    <mergeCell ref="B156:E156"/>
    <mergeCell ref="D165:E165"/>
    <mergeCell ref="B453:E453"/>
    <mergeCell ref="A456:F456"/>
    <mergeCell ref="D420:E420"/>
    <mergeCell ref="D421:E421"/>
    <mergeCell ref="D422:E422"/>
    <mergeCell ref="D438:E438"/>
    <mergeCell ref="D437:E437"/>
    <mergeCell ref="D439:E439"/>
    <mergeCell ref="D440:E440"/>
    <mergeCell ref="D441:E441"/>
    <mergeCell ref="B435:E435"/>
    <mergeCell ref="A444:F444"/>
    <mergeCell ref="A425:F425"/>
    <mergeCell ref="B436:E436"/>
    <mergeCell ref="A487:F487"/>
    <mergeCell ref="B495:E495"/>
    <mergeCell ref="A498:F498"/>
    <mergeCell ref="B542:E542"/>
    <mergeCell ref="B554:E554"/>
    <mergeCell ref="A557:F557"/>
    <mergeCell ref="B566:E566"/>
    <mergeCell ref="A581:F581"/>
    <mergeCell ref="B578:E578"/>
    <mergeCell ref="A516:F516"/>
    <mergeCell ref="B590:E590"/>
    <mergeCell ref="D529:E529"/>
    <mergeCell ref="D530:E530"/>
    <mergeCell ref="A533:F533"/>
    <mergeCell ref="A545:F545"/>
    <mergeCell ref="A569:F569"/>
    <mergeCell ref="D88:E88"/>
    <mergeCell ref="D89:E89"/>
    <mergeCell ref="A408:F408"/>
    <mergeCell ref="B416:E416"/>
    <mergeCell ref="B417:E417"/>
    <mergeCell ref="D418:E418"/>
    <mergeCell ref="D419:E419"/>
    <mergeCell ref="D483:E483"/>
    <mergeCell ref="D484:E484"/>
    <mergeCell ref="A468:F468"/>
    <mergeCell ref="B478:E478"/>
    <mergeCell ref="B479:E479"/>
    <mergeCell ref="D480:E480"/>
    <mergeCell ref="B465:E465"/>
  </mergeCells>
  <hyperlinks>
    <hyperlink r:id="rId1" ref="F187"/>
    <hyperlink r:id="rId2" ref="F283"/>
  </hyperlinks>
  <printOptions horizontalCentered="1"/>
  <pageMargins bottom="0.7874015748031497" footer="0.0" header="0.0" left="0.5118110236220472" right="0.5118110236220472" top="0.7874015748031497"/>
  <pageSetup paperSize="9" scale="70" orientation="portrait"/>
  <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86"/>
    <col customWidth="1" min="2" max="2" width="60.71"/>
    <col customWidth="1" min="3" max="3" width="8.71"/>
    <col customWidth="1" min="4" max="4" width="10.57"/>
    <col customWidth="1" min="5" max="5" width="10.14"/>
    <col customWidth="1" min="6" max="6" width="19.86"/>
    <col customWidth="1" min="7" max="7" width="8.71"/>
    <col customWidth="1" min="8" max="8" width="22.0"/>
    <col customWidth="1" min="9" max="9" width="10.0"/>
    <col customWidth="1" min="10" max="11" width="8.71"/>
  </cols>
  <sheetData>
    <row r="1" ht="15.0" customHeight="1">
      <c r="A1" s="568"/>
      <c r="B1" s="569"/>
      <c r="C1" s="569"/>
      <c r="D1" s="569"/>
      <c r="E1" s="569"/>
      <c r="F1" s="570"/>
    </row>
    <row r="2" ht="13.5" customHeight="1">
      <c r="A2" s="158"/>
      <c r="F2" s="159"/>
    </row>
    <row r="3" ht="10.5" customHeight="1">
      <c r="A3" s="158"/>
      <c r="F3" s="159"/>
    </row>
    <row r="4" ht="11.25" customHeight="1">
      <c r="A4" s="158"/>
      <c r="F4" s="159"/>
    </row>
    <row r="5" ht="10.5" customHeight="1">
      <c r="A5" s="158"/>
      <c r="F5" s="159"/>
    </row>
    <row r="6" ht="15.0" customHeight="1">
      <c r="A6" s="158"/>
      <c r="F6" s="159"/>
    </row>
    <row r="7" ht="14.25" customHeight="1">
      <c r="A7" s="576" t="s">
        <v>0</v>
      </c>
      <c r="B7" s="569" t="str">
        <f>'PLANILHA SEM DESON'!B7:C7</f>
        <v>SEMA-PRO-2022/00145</v>
      </c>
      <c r="C7" s="569"/>
      <c r="D7" s="569"/>
      <c r="E7" s="579" t="s">
        <v>916</v>
      </c>
      <c r="F7" s="886" t="str">
        <f>'PLANILHA SEM DESON'!I10</f>
        <v>11/30/2022</v>
      </c>
    </row>
    <row r="8" ht="14.25" customHeight="1">
      <c r="A8" s="581" t="s">
        <v>21</v>
      </c>
      <c r="B8" t="str">
        <f>'PLANILHA SEM DESON'!B8:C8</f>
        <v>CONSTRUÇÃO DE DIRETORIA DE UNIDADE DESCONCENTRADA DA SEMA - DUDS</v>
      </c>
      <c r="F8" s="159"/>
    </row>
    <row r="9" ht="14.25" customHeight="1">
      <c r="A9" s="581" t="s">
        <v>23</v>
      </c>
      <c r="B9" t="str">
        <f>'PLANILHA SEM DESON'!B9:C9</f>
        <v>Rua Erichin, esquina com Rua Circular - Bairro Residencial Arco Íris</v>
      </c>
      <c r="F9" s="159"/>
    </row>
    <row r="10" ht="14.25" customHeight="1">
      <c r="A10" s="581" t="s">
        <v>26</v>
      </c>
      <c r="B10" t="str">
        <f>'PLANILHA SEM DESON'!B10:C10</f>
        <v>CONFRESA - MT</v>
      </c>
      <c r="F10" s="159"/>
    </row>
    <row r="11" ht="14.25" customHeight="1">
      <c r="A11" s="583" t="s">
        <v>29</v>
      </c>
      <c r="B11" s="574" t="str">
        <f>'PLANILHA SEM DESON'!B11</f>
        <v>CONSTRUÇÃO </v>
      </c>
      <c r="C11" s="574"/>
      <c r="D11" s="574"/>
      <c r="E11" s="574"/>
      <c r="F11" s="575"/>
    </row>
    <row r="12" ht="6.75" customHeight="1">
      <c r="A12" s="158"/>
      <c r="F12" s="159"/>
    </row>
    <row r="13" ht="14.25" customHeight="1">
      <c r="A13" s="1004" t="s">
        <v>1417</v>
      </c>
      <c r="B13" s="34"/>
      <c r="C13" s="34"/>
      <c r="D13" s="34"/>
      <c r="E13" s="34"/>
      <c r="F13" s="35"/>
    </row>
    <row r="14" ht="14.25" customHeight="1">
      <c r="A14" s="1005" t="s">
        <v>117</v>
      </c>
      <c r="B14" s="836" t="s">
        <v>118</v>
      </c>
      <c r="C14" s="1006" t="s">
        <v>53</v>
      </c>
      <c r="D14" s="1007"/>
      <c r="E14" s="555"/>
      <c r="F14" s="592"/>
    </row>
    <row r="15" ht="14.25" customHeight="1">
      <c r="A15" s="817" t="s">
        <v>1418</v>
      </c>
      <c r="B15" s="561"/>
      <c r="C15" s="561"/>
      <c r="D15" s="561"/>
      <c r="E15" s="561"/>
      <c r="F15" s="124"/>
    </row>
    <row r="16" ht="14.25" customHeight="1">
      <c r="A16" s="593"/>
      <c r="B16" s="594" t="s">
        <v>918</v>
      </c>
      <c r="C16" s="595" t="s">
        <v>919</v>
      </c>
      <c r="D16" s="596" t="s">
        <v>920</v>
      </c>
      <c r="E16" s="643" t="s">
        <v>921</v>
      </c>
      <c r="F16" s="598" t="s">
        <v>922</v>
      </c>
    </row>
    <row r="17" ht="23.25" customHeight="1">
      <c r="A17" s="1008">
        <v>88239.0</v>
      </c>
      <c r="B17" s="635" t="s">
        <v>1070</v>
      </c>
      <c r="C17" s="601" t="s">
        <v>924</v>
      </c>
      <c r="D17" s="636">
        <v>1.1</v>
      </c>
      <c r="E17" s="605">
        <v>20.55</v>
      </c>
      <c r="F17" s="603" t="str">
        <f t="shared" ref="F17:F18" si="1">TRUNC((D17*E17),2)</f>
        <v>22.60</v>
      </c>
    </row>
    <row r="18" ht="14.25" customHeight="1">
      <c r="A18" s="1008">
        <v>88262.0</v>
      </c>
      <c r="B18" s="635" t="s">
        <v>934</v>
      </c>
      <c r="C18" s="601" t="s">
        <v>924</v>
      </c>
      <c r="D18" s="636">
        <v>1.1</v>
      </c>
      <c r="E18" s="605">
        <v>24.32</v>
      </c>
      <c r="F18" s="603" t="str">
        <f t="shared" si="1"/>
        <v>26.75</v>
      </c>
    </row>
    <row r="19" ht="14.25" customHeight="1">
      <c r="A19" s="606"/>
      <c r="B19" s="220"/>
      <c r="C19" s="601" t="s">
        <v>910</v>
      </c>
      <c r="D19" s="608" t="s">
        <v>910</v>
      </c>
      <c r="E19" s="1009" t="s">
        <v>927</v>
      </c>
      <c r="F19" s="782" t="str">
        <f>SUM(F17:F18)</f>
        <v>49.35</v>
      </c>
    </row>
    <row r="20" ht="14.25" customHeight="1">
      <c r="A20" s="606"/>
      <c r="B20" s="690" t="s">
        <v>936</v>
      </c>
      <c r="C20" s="595" t="s">
        <v>919</v>
      </c>
      <c r="D20" s="596" t="s">
        <v>920</v>
      </c>
      <c r="E20" s="643" t="s">
        <v>921</v>
      </c>
      <c r="F20" s="598" t="s">
        <v>922</v>
      </c>
    </row>
    <row r="21" ht="14.25" customHeight="1">
      <c r="A21" s="691">
        <v>4517.0</v>
      </c>
      <c r="B21" s="600" t="s">
        <v>1419</v>
      </c>
      <c r="C21" s="329" t="s">
        <v>69</v>
      </c>
      <c r="D21" s="636">
        <v>1.25</v>
      </c>
      <c r="E21" s="636">
        <v>4.08</v>
      </c>
      <c r="F21" s="603" t="str">
        <f t="shared" ref="F21:F25" si="2">TRUNC((D21*E21),2)</f>
        <v>5.10</v>
      </c>
    </row>
    <row r="22" ht="14.25" customHeight="1">
      <c r="A22" s="691">
        <v>6189.0</v>
      </c>
      <c r="B22" s="600" t="s">
        <v>1420</v>
      </c>
      <c r="C22" s="329" t="s">
        <v>53</v>
      </c>
      <c r="D22" s="636">
        <v>0.2</v>
      </c>
      <c r="E22" s="636">
        <v>26.29</v>
      </c>
      <c r="F22" s="603" t="str">
        <f t="shared" si="2"/>
        <v>5.25</v>
      </c>
    </row>
    <row r="23" ht="14.25" customHeight="1">
      <c r="A23" s="691">
        <v>1346.0</v>
      </c>
      <c r="B23" s="600" t="s">
        <v>1421</v>
      </c>
      <c r="C23" s="329" t="s">
        <v>53</v>
      </c>
      <c r="D23" s="636">
        <v>0.1</v>
      </c>
      <c r="E23" s="636">
        <v>77.52</v>
      </c>
      <c r="F23" s="603" t="str">
        <f t="shared" si="2"/>
        <v>7.75</v>
      </c>
    </row>
    <row r="24" ht="14.25" customHeight="1">
      <c r="A24" s="691">
        <v>5061.0</v>
      </c>
      <c r="B24" s="600" t="s">
        <v>1422</v>
      </c>
      <c r="C24" s="329" t="s">
        <v>107</v>
      </c>
      <c r="D24" s="636">
        <v>0.7</v>
      </c>
      <c r="E24" s="636">
        <v>25.45</v>
      </c>
      <c r="F24" s="603" t="str">
        <f t="shared" si="2"/>
        <v>17.81</v>
      </c>
    </row>
    <row r="25" ht="14.25" customHeight="1">
      <c r="A25" s="691">
        <v>2692.0</v>
      </c>
      <c r="B25" s="600" t="s">
        <v>1423</v>
      </c>
      <c r="C25" s="329" t="s">
        <v>1150</v>
      </c>
      <c r="D25" s="636">
        <v>0.01</v>
      </c>
      <c r="E25" s="636">
        <v>8.84</v>
      </c>
      <c r="F25" s="603" t="str">
        <f t="shared" si="2"/>
        <v>0.08</v>
      </c>
    </row>
    <row r="26" ht="14.25" customHeight="1">
      <c r="A26" s="599"/>
      <c r="B26" s="684"/>
      <c r="C26" s="200"/>
      <c r="D26" s="685"/>
      <c r="E26" s="1009" t="s">
        <v>927</v>
      </c>
      <c r="F26" s="598" t="str">
        <f>SUM(F21:F25)</f>
        <v>35.99</v>
      </c>
    </row>
    <row r="27" ht="14.25" customHeight="1">
      <c r="A27" s="286"/>
      <c r="B27" s="1010" t="s">
        <v>928</v>
      </c>
      <c r="C27" s="21"/>
      <c r="D27" s="21"/>
      <c r="E27" s="851"/>
      <c r="F27" s="1011" t="str">
        <f>F19+F26</f>
        <v>85.34</v>
      </c>
    </row>
    <row r="28" ht="14.25" customHeight="1">
      <c r="A28" s="1012"/>
      <c r="B28" s="1013"/>
      <c r="F28" s="1014"/>
    </row>
    <row r="29" ht="14.25" customHeight="1">
      <c r="A29" s="1005" t="s">
        <v>122</v>
      </c>
      <c r="B29" s="836" t="s">
        <v>123</v>
      </c>
      <c r="C29" s="1006" t="s">
        <v>53</v>
      </c>
      <c r="D29" s="1007"/>
      <c r="E29" s="555"/>
      <c r="F29" s="592"/>
    </row>
    <row r="30" ht="14.25" customHeight="1">
      <c r="A30" s="817" t="s">
        <v>1424</v>
      </c>
      <c r="B30" s="561"/>
      <c r="C30" s="561"/>
      <c r="D30" s="561"/>
      <c r="E30" s="561"/>
      <c r="F30" s="124"/>
    </row>
    <row r="31" ht="14.25" customHeight="1">
      <c r="A31" s="593"/>
      <c r="B31" s="594" t="s">
        <v>918</v>
      </c>
      <c r="C31" s="595" t="s">
        <v>919</v>
      </c>
      <c r="D31" s="596" t="s">
        <v>920</v>
      </c>
      <c r="E31" s="643" t="s">
        <v>921</v>
      </c>
      <c r="F31" s="598" t="s">
        <v>922</v>
      </c>
    </row>
    <row r="32" ht="14.25" customHeight="1">
      <c r="A32" s="1008">
        <v>88309.0</v>
      </c>
      <c r="B32" s="635" t="s">
        <v>964</v>
      </c>
      <c r="C32" s="601" t="s">
        <v>924</v>
      </c>
      <c r="D32" s="665">
        <v>1.0058</v>
      </c>
      <c r="E32" s="605">
        <v>24.59</v>
      </c>
      <c r="F32" s="603" t="str">
        <f t="shared" ref="F32:F33" si="3">TRUNC((D32*E32),2)</f>
        <v>24.73</v>
      </c>
    </row>
    <row r="33" ht="14.25" customHeight="1">
      <c r="A33" s="1008">
        <v>88316.0</v>
      </c>
      <c r="B33" s="335" t="s">
        <v>935</v>
      </c>
      <c r="C33" s="601" t="s">
        <v>924</v>
      </c>
      <c r="D33" s="665">
        <v>2.7574</v>
      </c>
      <c r="E33" s="605">
        <v>19.45</v>
      </c>
      <c r="F33" s="603" t="str">
        <f t="shared" si="3"/>
        <v>53.63</v>
      </c>
    </row>
    <row r="34" ht="14.25" customHeight="1">
      <c r="A34" s="606"/>
      <c r="B34" s="220"/>
      <c r="C34" s="601" t="s">
        <v>910</v>
      </c>
      <c r="D34" s="608" t="s">
        <v>910</v>
      </c>
      <c r="E34" s="1009" t="s">
        <v>927</v>
      </c>
      <c r="F34" s="782" t="str">
        <f>SUM(F32:F33)</f>
        <v>78.36</v>
      </c>
    </row>
    <row r="35" ht="14.25" customHeight="1">
      <c r="A35" s="606"/>
      <c r="B35" s="690" t="s">
        <v>936</v>
      </c>
      <c r="C35" s="595" t="s">
        <v>919</v>
      </c>
      <c r="D35" s="596" t="s">
        <v>920</v>
      </c>
      <c r="E35" s="643" t="s">
        <v>921</v>
      </c>
      <c r="F35" s="598" t="s">
        <v>922</v>
      </c>
    </row>
    <row r="36" ht="14.25" customHeight="1">
      <c r="A36" s="691"/>
      <c r="B36" s="1015"/>
      <c r="C36" s="175"/>
      <c r="D36" s="636"/>
      <c r="E36" s="636"/>
      <c r="F36" s="603" t="str">
        <f>TRUNC((D36*E36),2)</f>
        <v>0.00</v>
      </c>
    </row>
    <row r="37" ht="14.25" customHeight="1">
      <c r="A37" s="599"/>
      <c r="B37" s="684"/>
      <c r="C37" s="200"/>
      <c r="D37" s="685"/>
      <c r="E37" s="1009" t="s">
        <v>927</v>
      </c>
      <c r="F37" s="598" t="str">
        <f>SUM(F36)</f>
        <v>0.00</v>
      </c>
    </row>
    <row r="38" ht="14.25" customHeight="1">
      <c r="A38" s="286"/>
      <c r="B38" s="1010" t="s">
        <v>928</v>
      </c>
      <c r="C38" s="21"/>
      <c r="D38" s="21"/>
      <c r="E38" s="851"/>
      <c r="F38" s="1011" t="str">
        <f>F34+F37</f>
        <v>78.36</v>
      </c>
    </row>
    <row r="39" ht="14.25" customHeight="1">
      <c r="A39" s="158"/>
      <c r="F39" s="159"/>
    </row>
    <row r="40" ht="29.25" customHeight="1">
      <c r="A40" s="1005" t="s">
        <v>125</v>
      </c>
      <c r="B40" s="836" t="s">
        <v>126</v>
      </c>
      <c r="C40" s="1006" t="s">
        <v>107</v>
      </c>
      <c r="D40" s="1007"/>
      <c r="E40" s="555"/>
      <c r="F40" s="592"/>
    </row>
    <row r="41" ht="14.25" customHeight="1">
      <c r="A41" s="817" t="s">
        <v>1425</v>
      </c>
      <c r="B41" s="561"/>
      <c r="C41" s="561"/>
      <c r="D41" s="561"/>
      <c r="E41" s="561"/>
      <c r="F41" s="124"/>
    </row>
    <row r="42" ht="14.25" customHeight="1">
      <c r="A42" s="593"/>
      <c r="B42" s="594" t="s">
        <v>918</v>
      </c>
      <c r="C42" s="595" t="s">
        <v>919</v>
      </c>
      <c r="D42" s="596" t="s">
        <v>920</v>
      </c>
      <c r="E42" s="643" t="s">
        <v>921</v>
      </c>
      <c r="F42" s="598" t="s">
        <v>922</v>
      </c>
    </row>
    <row r="43" ht="14.25" customHeight="1">
      <c r="A43" s="1008">
        <v>88238.0</v>
      </c>
      <c r="B43" s="1016" t="s">
        <v>1426</v>
      </c>
      <c r="C43" s="601" t="s">
        <v>924</v>
      </c>
      <c r="D43" s="636">
        <v>1.0</v>
      </c>
      <c r="E43" s="605">
        <v>19.41</v>
      </c>
      <c r="F43" s="603" t="str">
        <f t="shared" ref="F43:F44" si="4">TRUNC((D43*E43),2)</f>
        <v>19.41</v>
      </c>
    </row>
    <row r="44" ht="14.25" customHeight="1">
      <c r="A44" s="1008">
        <v>88245.0</v>
      </c>
      <c r="B44" s="1017" t="s">
        <v>1427</v>
      </c>
      <c r="C44" s="601" t="s">
        <v>924</v>
      </c>
      <c r="D44" s="636">
        <v>1.0</v>
      </c>
      <c r="E44" s="605">
        <v>24.44</v>
      </c>
      <c r="F44" s="603" t="str">
        <f t="shared" si="4"/>
        <v>24.44</v>
      </c>
    </row>
    <row r="45" ht="14.25" customHeight="1">
      <c r="A45" s="606"/>
      <c r="B45" s="220"/>
      <c r="C45" s="601" t="s">
        <v>910</v>
      </c>
      <c r="D45" s="608" t="s">
        <v>910</v>
      </c>
      <c r="E45" s="1009" t="s">
        <v>927</v>
      </c>
      <c r="F45" s="689" t="str">
        <f>SUM(F43:F44)</f>
        <v>43.85</v>
      </c>
    </row>
    <row r="46" ht="14.25" customHeight="1">
      <c r="A46" s="606"/>
      <c r="B46" s="690" t="s">
        <v>936</v>
      </c>
      <c r="C46" s="595" t="s">
        <v>919</v>
      </c>
      <c r="D46" s="596" t="s">
        <v>920</v>
      </c>
      <c r="E46" s="643" t="s">
        <v>921</v>
      </c>
      <c r="F46" s="598" t="s">
        <v>922</v>
      </c>
    </row>
    <row r="47" ht="18.75" customHeight="1">
      <c r="A47" s="691">
        <v>92803.0</v>
      </c>
      <c r="B47" s="604" t="s">
        <v>1146</v>
      </c>
      <c r="C47" s="329" t="s">
        <v>107</v>
      </c>
      <c r="D47" s="636">
        <v>1.05</v>
      </c>
      <c r="E47" s="636">
        <v>12.06</v>
      </c>
      <c r="F47" s="603" t="str">
        <f t="shared" ref="F47:F48" si="5">TRUNC((D47*E47),2)</f>
        <v>12.66</v>
      </c>
    </row>
    <row r="48" ht="18.75" customHeight="1">
      <c r="A48" s="691">
        <v>92800.0</v>
      </c>
      <c r="B48" s="604" t="s">
        <v>1428</v>
      </c>
      <c r="C48" s="329" t="s">
        <v>107</v>
      </c>
      <c r="D48" s="636">
        <v>0.015</v>
      </c>
      <c r="E48" s="636">
        <v>12.37</v>
      </c>
      <c r="F48" s="603" t="str">
        <f t="shared" si="5"/>
        <v>0.18</v>
      </c>
    </row>
    <row r="49" ht="14.25" customHeight="1">
      <c r="A49" s="691"/>
      <c r="B49" s="1018"/>
      <c r="C49" s="175"/>
      <c r="D49" s="636"/>
      <c r="E49" s="1009" t="s">
        <v>927</v>
      </c>
      <c r="F49" s="610" t="str">
        <f>SUM(F47:F48)</f>
        <v>12.84</v>
      </c>
    </row>
    <row r="50" ht="14.25" customHeight="1">
      <c r="A50" s="691"/>
      <c r="B50" s="1019" t="s">
        <v>1429</v>
      </c>
      <c r="C50" s="595" t="s">
        <v>919</v>
      </c>
      <c r="D50" s="596" t="s">
        <v>920</v>
      </c>
      <c r="E50" s="643" t="s">
        <v>921</v>
      </c>
      <c r="F50" s="598" t="s">
        <v>922</v>
      </c>
    </row>
    <row r="51" ht="14.25" customHeight="1">
      <c r="A51" s="691">
        <v>93287.0</v>
      </c>
      <c r="B51" s="1020" t="s">
        <v>1430</v>
      </c>
      <c r="C51" s="329" t="s">
        <v>1157</v>
      </c>
      <c r="D51" s="665">
        <v>0.0113</v>
      </c>
      <c r="E51" s="870">
        <v>321.84</v>
      </c>
      <c r="F51" s="1021" t="str">
        <f>D51*E51</f>
        <v>3.637</v>
      </c>
    </row>
    <row r="52" ht="14.25" customHeight="1">
      <c r="A52" s="691"/>
      <c r="B52" s="1022"/>
      <c r="C52" s="175"/>
      <c r="D52" s="636"/>
      <c r="E52" s="1009" t="s">
        <v>927</v>
      </c>
      <c r="F52" s="610" t="str">
        <f>F51</f>
        <v>3.64</v>
      </c>
    </row>
    <row r="53" ht="14.25" customHeight="1">
      <c r="A53" s="691"/>
      <c r="B53" s="1019" t="s">
        <v>1431</v>
      </c>
      <c r="C53" s="595" t="s">
        <v>919</v>
      </c>
      <c r="D53" s="596" t="s">
        <v>920</v>
      </c>
      <c r="E53" s="643" t="s">
        <v>921</v>
      </c>
      <c r="F53" s="598" t="s">
        <v>922</v>
      </c>
    </row>
    <row r="54" ht="14.25" customHeight="1">
      <c r="A54" s="691">
        <v>100263.0</v>
      </c>
      <c r="B54" s="600" t="s">
        <v>1432</v>
      </c>
      <c r="C54" s="329" t="s">
        <v>1433</v>
      </c>
      <c r="D54" s="665">
        <v>0.0105</v>
      </c>
      <c r="E54" s="636">
        <v>1.95</v>
      </c>
      <c r="F54" s="1023" t="str">
        <f t="shared" ref="F54:F55" si="6">(D54*E54)</f>
        <v>0.0205</v>
      </c>
      <c r="H54" s="299" t="s">
        <v>1434</v>
      </c>
    </row>
    <row r="55" ht="30.75" customHeight="1">
      <c r="A55" s="691">
        <v>100260.0</v>
      </c>
      <c r="B55" s="600" t="s">
        <v>1435</v>
      </c>
      <c r="C55" s="329" t="s">
        <v>1433</v>
      </c>
      <c r="D55" s="665">
        <v>2.0E-4</v>
      </c>
      <c r="E55" s="636">
        <v>7.84</v>
      </c>
      <c r="F55" s="1024" t="str">
        <f t="shared" si="6"/>
        <v>0.0015680</v>
      </c>
      <c r="H55" s="299" t="s">
        <v>1436</v>
      </c>
    </row>
    <row r="56" ht="14.25" customHeight="1">
      <c r="A56" s="599"/>
      <c r="B56" s="684"/>
      <c r="C56" s="200"/>
      <c r="D56" s="685"/>
      <c r="E56" s="1009" t="s">
        <v>927</v>
      </c>
      <c r="F56" s="1025" t="str">
        <f>SUM(F54:F55)</f>
        <v>0.02204</v>
      </c>
    </row>
    <row r="57" ht="14.25" customHeight="1">
      <c r="A57" s="286"/>
      <c r="B57" s="1010" t="s">
        <v>928</v>
      </c>
      <c r="C57" s="21"/>
      <c r="D57" s="21"/>
      <c r="E57" s="851"/>
      <c r="F57" s="1026" t="str">
        <f>F45+F49+F51+F56</f>
        <v>60.35</v>
      </c>
    </row>
    <row r="58" ht="14.25" customHeight="1">
      <c r="A58" s="1027"/>
      <c r="B58" s="6"/>
      <c r="C58" s="6"/>
      <c r="D58" s="6"/>
      <c r="E58" s="6"/>
      <c r="F58" s="1028"/>
    </row>
    <row r="59" ht="25.5" customHeight="1">
      <c r="A59" s="1029" t="s">
        <v>147</v>
      </c>
      <c r="B59" s="658" t="s">
        <v>148</v>
      </c>
      <c r="C59" s="589" t="s">
        <v>53</v>
      </c>
      <c r="D59" s="1007"/>
      <c r="E59" s="555"/>
      <c r="F59" s="592"/>
    </row>
    <row r="60" ht="15.0" customHeight="1">
      <c r="A60" s="817" t="s">
        <v>1437</v>
      </c>
      <c r="B60" s="561"/>
      <c r="C60" s="561"/>
      <c r="D60" s="561"/>
      <c r="E60" s="561"/>
      <c r="F60" s="124"/>
      <c r="H60" s="566"/>
    </row>
    <row r="61" ht="14.25" customHeight="1">
      <c r="A61" s="593"/>
      <c r="B61" s="594" t="s">
        <v>918</v>
      </c>
      <c r="C61" s="595" t="s">
        <v>919</v>
      </c>
      <c r="D61" s="596" t="s">
        <v>920</v>
      </c>
      <c r="E61" s="597" t="s">
        <v>921</v>
      </c>
      <c r="F61" s="598" t="s">
        <v>922</v>
      </c>
    </row>
    <row r="62" ht="26.25" customHeight="1">
      <c r="A62" s="1008">
        <v>88239.0</v>
      </c>
      <c r="B62" s="635" t="s">
        <v>1070</v>
      </c>
      <c r="C62" s="601" t="s">
        <v>924</v>
      </c>
      <c r="D62" s="636">
        <v>0.16</v>
      </c>
      <c r="E62" s="605">
        <v>20.55</v>
      </c>
      <c r="F62" s="603" t="str">
        <f t="shared" ref="F62:F65" si="7">TRUNC((D62*E62),2)</f>
        <v>3.28</v>
      </c>
    </row>
    <row r="63" ht="14.25" customHeight="1">
      <c r="A63" s="1008">
        <v>88262.0</v>
      </c>
      <c r="B63" s="635" t="s">
        <v>934</v>
      </c>
      <c r="C63" s="601" t="s">
        <v>924</v>
      </c>
      <c r="D63" s="636">
        <v>0.16</v>
      </c>
      <c r="E63" s="605">
        <v>24.32</v>
      </c>
      <c r="F63" s="603" t="str">
        <f t="shared" si="7"/>
        <v>3.89</v>
      </c>
    </row>
    <row r="64" ht="14.25" customHeight="1">
      <c r="A64" s="1008">
        <v>88309.0</v>
      </c>
      <c r="B64" s="635" t="s">
        <v>964</v>
      </c>
      <c r="C64" s="601" t="s">
        <v>924</v>
      </c>
      <c r="D64" s="1030">
        <v>0.35</v>
      </c>
      <c r="E64" s="605">
        <v>24.59</v>
      </c>
      <c r="F64" s="603" t="str">
        <f t="shared" si="7"/>
        <v>8.60</v>
      </c>
    </row>
    <row r="65" ht="14.25" customHeight="1">
      <c r="A65" s="1008">
        <v>88316.0</v>
      </c>
      <c r="B65" s="335" t="s">
        <v>935</v>
      </c>
      <c r="C65" s="601" t="s">
        <v>924</v>
      </c>
      <c r="D65" s="1030">
        <v>0.35</v>
      </c>
      <c r="E65" s="605">
        <v>19.45</v>
      </c>
      <c r="F65" s="603" t="str">
        <f t="shared" si="7"/>
        <v>6.80</v>
      </c>
    </row>
    <row r="66" ht="14.25" customHeight="1">
      <c r="A66" s="606"/>
      <c r="B66" s="220"/>
      <c r="C66" s="601" t="s">
        <v>910</v>
      </c>
      <c r="D66" s="608" t="s">
        <v>910</v>
      </c>
      <c r="E66" s="609" t="s">
        <v>927</v>
      </c>
      <c r="F66" s="782" t="str">
        <f>SUM(F62:F65)</f>
        <v>22.57</v>
      </c>
    </row>
    <row r="67" ht="14.25" customHeight="1">
      <c r="A67" s="606"/>
      <c r="B67" s="690" t="s">
        <v>936</v>
      </c>
      <c r="C67" s="595" t="s">
        <v>919</v>
      </c>
      <c r="D67" s="596" t="s">
        <v>920</v>
      </c>
      <c r="E67" s="597" t="s">
        <v>921</v>
      </c>
      <c r="F67" s="598" t="s">
        <v>922</v>
      </c>
    </row>
    <row r="68" ht="40.5" customHeight="1">
      <c r="A68" s="691">
        <v>94965.0</v>
      </c>
      <c r="B68" s="635" t="s">
        <v>1438</v>
      </c>
      <c r="C68" s="329" t="s">
        <v>58</v>
      </c>
      <c r="D68" s="693">
        <v>0.033</v>
      </c>
      <c r="E68" s="636">
        <v>568.0</v>
      </c>
      <c r="F68" s="603" t="str">
        <f t="shared" ref="F68:F73" si="8">TRUNC((D68*E68),2)</f>
        <v>18.74</v>
      </c>
    </row>
    <row r="69" ht="29.25" customHeight="1">
      <c r="A69" s="691">
        <v>103673.0</v>
      </c>
      <c r="B69" s="600" t="s">
        <v>104</v>
      </c>
      <c r="C69" s="329" t="s">
        <v>58</v>
      </c>
      <c r="D69" s="693">
        <v>0.033</v>
      </c>
      <c r="E69" s="636">
        <v>37.31</v>
      </c>
      <c r="F69" s="603" t="str">
        <f t="shared" si="8"/>
        <v>1.23</v>
      </c>
    </row>
    <row r="70" ht="39.75" customHeight="1">
      <c r="A70" s="691">
        <v>3742.0</v>
      </c>
      <c r="B70" s="600" t="s">
        <v>1439</v>
      </c>
      <c r="C70" s="329" t="s">
        <v>53</v>
      </c>
      <c r="D70" s="693">
        <v>1.0</v>
      </c>
      <c r="E70" s="636">
        <v>110.06</v>
      </c>
      <c r="F70" s="603" t="str">
        <f t="shared" si="8"/>
        <v>110.06</v>
      </c>
      <c r="H70" s="870"/>
      <c r="I70" s="348"/>
    </row>
    <row r="71" ht="28.5" customHeight="1">
      <c r="A71" s="691">
        <v>4491.0</v>
      </c>
      <c r="B71" s="1020" t="s">
        <v>1440</v>
      </c>
      <c r="C71" s="329" t="s">
        <v>69</v>
      </c>
      <c r="D71" s="693">
        <v>0.29</v>
      </c>
      <c r="E71" s="636">
        <v>11.67</v>
      </c>
      <c r="F71" s="603" t="str">
        <f t="shared" si="8"/>
        <v>3.38</v>
      </c>
    </row>
    <row r="72" ht="18.75" customHeight="1">
      <c r="A72" s="691">
        <v>5061.0</v>
      </c>
      <c r="B72" s="1003" t="s">
        <v>1422</v>
      </c>
      <c r="C72" s="329" t="s">
        <v>107</v>
      </c>
      <c r="D72" s="693">
        <v>0.03</v>
      </c>
      <c r="E72" s="636">
        <v>25.45</v>
      </c>
      <c r="F72" s="603" t="str">
        <f t="shared" si="8"/>
        <v>0.76</v>
      </c>
    </row>
    <row r="73" ht="14.25" customHeight="1">
      <c r="A73" s="691">
        <v>6189.0</v>
      </c>
      <c r="B73" s="1020" t="s">
        <v>1420</v>
      </c>
      <c r="C73" s="329" t="s">
        <v>69</v>
      </c>
      <c r="D73" s="693">
        <v>0.17</v>
      </c>
      <c r="E73" s="636">
        <v>26.29</v>
      </c>
      <c r="F73" s="603" t="str">
        <f t="shared" si="8"/>
        <v>4.46</v>
      </c>
      <c r="H73" s="259"/>
    </row>
    <row r="74" ht="14.25" customHeight="1">
      <c r="A74" s="599"/>
      <c r="B74" s="684"/>
      <c r="C74" s="200"/>
      <c r="D74" s="685"/>
      <c r="E74" s="609" t="s">
        <v>927</v>
      </c>
      <c r="F74" s="598" t="str">
        <f>SUM(F68:F73)</f>
        <v>138.63</v>
      </c>
    </row>
    <row r="75" ht="14.25" customHeight="1">
      <c r="A75" s="611"/>
      <c r="B75" s="612" t="s">
        <v>928</v>
      </c>
      <c r="C75" s="613"/>
      <c r="D75" s="613"/>
      <c r="E75" s="614"/>
      <c r="F75" s="696" t="str">
        <f>F66+F74</f>
        <v>161.20</v>
      </c>
    </row>
    <row r="76" ht="30.75" customHeight="1">
      <c r="A76" s="1031" t="s">
        <v>1441</v>
      </c>
      <c r="B76" s="28"/>
      <c r="C76" s="28"/>
      <c r="D76" s="28"/>
      <c r="E76" s="28"/>
      <c r="F76" s="29"/>
    </row>
    <row r="77" ht="14.25" customHeight="1">
      <c r="A77" s="158"/>
      <c r="F77" s="159"/>
    </row>
    <row r="78" ht="42.0" customHeight="1">
      <c r="A78" s="1029" t="s">
        <v>335</v>
      </c>
      <c r="B78" s="1032" t="s">
        <v>1442</v>
      </c>
      <c r="C78" s="1033" t="s">
        <v>1443</v>
      </c>
      <c r="D78" s="1034"/>
      <c r="E78" s="1035"/>
      <c r="F78" s="1036"/>
    </row>
    <row r="79" ht="14.25" customHeight="1">
      <c r="A79" s="1037" t="s">
        <v>1444</v>
      </c>
      <c r="B79" s="561"/>
      <c r="C79" s="561"/>
      <c r="D79" s="561"/>
      <c r="E79" s="561"/>
      <c r="F79" s="124"/>
    </row>
    <row r="80" ht="14.25" customHeight="1">
      <c r="A80" s="1038"/>
      <c r="B80" s="1039" t="s">
        <v>1168</v>
      </c>
      <c r="C80" s="1040" t="s">
        <v>919</v>
      </c>
      <c r="D80" s="1041" t="s">
        <v>920</v>
      </c>
      <c r="E80" s="1042" t="s">
        <v>1169</v>
      </c>
      <c r="F80" s="1043" t="s">
        <v>922</v>
      </c>
    </row>
    <row r="81" ht="14.25" customHeight="1">
      <c r="A81" s="599">
        <v>88315.0</v>
      </c>
      <c r="B81" s="600" t="s">
        <v>1024</v>
      </c>
      <c r="C81" s="846" t="s">
        <v>1445</v>
      </c>
      <c r="D81" s="1044">
        <v>0.02</v>
      </c>
      <c r="E81" s="636">
        <v>24.44</v>
      </c>
      <c r="F81" s="898" t="str">
        <f t="shared" ref="F81:F86" si="9">TRUNC(D81*E81,2)</f>
        <v>0.48</v>
      </c>
    </row>
    <row r="82" ht="14.25" customHeight="1">
      <c r="A82" s="599">
        <v>88251.0</v>
      </c>
      <c r="B82" s="600" t="s">
        <v>1446</v>
      </c>
      <c r="C82" s="846" t="s">
        <v>1445</v>
      </c>
      <c r="D82" s="1044">
        <v>0.02</v>
      </c>
      <c r="E82" s="636">
        <v>20.63</v>
      </c>
      <c r="F82" s="898" t="str">
        <f t="shared" si="9"/>
        <v>0.41</v>
      </c>
    </row>
    <row r="83" ht="14.25" customHeight="1">
      <c r="A83" s="599">
        <v>88310.0</v>
      </c>
      <c r="B83" s="600" t="s">
        <v>1447</v>
      </c>
      <c r="C83" s="846" t="s">
        <v>1445</v>
      </c>
      <c r="D83" s="1044">
        <v>0.003</v>
      </c>
      <c r="E83" s="636">
        <v>25.64</v>
      </c>
      <c r="F83" s="898" t="str">
        <f t="shared" si="9"/>
        <v>0.07</v>
      </c>
    </row>
    <row r="84" ht="14.25" customHeight="1">
      <c r="A84" s="599">
        <v>100301.0</v>
      </c>
      <c r="B84" s="600" t="s">
        <v>1448</v>
      </c>
      <c r="C84" s="846" t="s">
        <v>1445</v>
      </c>
      <c r="D84" s="1044">
        <v>0.003</v>
      </c>
      <c r="E84" s="636">
        <v>21.82</v>
      </c>
      <c r="F84" s="898" t="str">
        <f t="shared" si="9"/>
        <v>0.06</v>
      </c>
      <c r="H84" s="298"/>
    </row>
    <row r="85" ht="14.25" customHeight="1">
      <c r="A85" s="599">
        <v>88240.0</v>
      </c>
      <c r="B85" s="600" t="s">
        <v>1449</v>
      </c>
      <c r="C85" s="846" t="s">
        <v>1445</v>
      </c>
      <c r="D85" s="1044">
        <v>0.04</v>
      </c>
      <c r="E85" s="636">
        <v>14.26</v>
      </c>
      <c r="F85" s="898" t="str">
        <f t="shared" si="9"/>
        <v>0.57</v>
      </c>
    </row>
    <row r="86" ht="14.25" customHeight="1">
      <c r="A86" s="599">
        <v>88317.0</v>
      </c>
      <c r="B86" s="600" t="s">
        <v>1450</v>
      </c>
      <c r="C86" s="846" t="s">
        <v>1445</v>
      </c>
      <c r="D86" s="1044">
        <v>0.04</v>
      </c>
      <c r="E86" s="636">
        <v>25.26</v>
      </c>
      <c r="F86" s="898" t="str">
        <f t="shared" si="9"/>
        <v>1.01</v>
      </c>
    </row>
    <row r="87" ht="14.25" customHeight="1">
      <c r="A87" s="691"/>
      <c r="B87" s="1045"/>
      <c r="C87" s="846"/>
      <c r="D87" s="1046"/>
      <c r="E87" s="728" t="s">
        <v>927</v>
      </c>
      <c r="F87" s="910" t="str">
        <f>SUM(F81:F86)</f>
        <v>2.60</v>
      </c>
    </row>
    <row r="88" ht="14.25" customHeight="1">
      <c r="A88" s="1047" t="s">
        <v>1451</v>
      </c>
      <c r="B88" s="881" t="s">
        <v>1452</v>
      </c>
      <c r="C88" s="1048" t="s">
        <v>919</v>
      </c>
      <c r="D88" s="1049" t="s">
        <v>920</v>
      </c>
      <c r="E88" s="1050" t="s">
        <v>1169</v>
      </c>
      <c r="F88" s="1051" t="s">
        <v>922</v>
      </c>
    </row>
    <row r="89" ht="14.25" customHeight="1">
      <c r="A89" s="599">
        <v>98764.0</v>
      </c>
      <c r="B89" s="600" t="s">
        <v>1453</v>
      </c>
      <c r="C89" s="846" t="s">
        <v>1157</v>
      </c>
      <c r="D89" s="1044">
        <v>0.04</v>
      </c>
      <c r="E89" s="636">
        <v>5.3</v>
      </c>
      <c r="F89" s="898" t="str">
        <f>TRUNC(D89*E89,2)</f>
        <v>0.21</v>
      </c>
    </row>
    <row r="90" ht="43.5" customHeight="1">
      <c r="A90" s="599">
        <v>98765.0</v>
      </c>
      <c r="B90" s="600" t="s">
        <v>1454</v>
      </c>
      <c r="C90" s="846" t="s">
        <v>1159</v>
      </c>
      <c r="D90" s="1044">
        <v>0.04</v>
      </c>
      <c r="E90" s="636">
        <v>0.1</v>
      </c>
      <c r="F90" s="898" t="str">
        <f>ROUNDUP(D90*E90,2)</f>
        <v>0.01</v>
      </c>
    </row>
    <row r="91" ht="14.25" customHeight="1">
      <c r="A91" s="599">
        <v>43083.0</v>
      </c>
      <c r="B91" s="600" t="s">
        <v>1455</v>
      </c>
      <c r="C91" s="846" t="s">
        <v>1456</v>
      </c>
      <c r="D91" s="1044">
        <v>0.525</v>
      </c>
      <c r="E91" s="636">
        <v>11.26</v>
      </c>
      <c r="F91" s="898" t="str">
        <f t="shared" ref="F91:F94" si="10">TRUNC(D91*E91,2)</f>
        <v>5.91</v>
      </c>
    </row>
    <row r="92" ht="14.25" customHeight="1">
      <c r="A92" s="599">
        <v>546.0</v>
      </c>
      <c r="B92" s="600" t="s">
        <v>1457</v>
      </c>
      <c r="C92" s="846" t="s">
        <v>1456</v>
      </c>
      <c r="D92" s="1044">
        <v>0.525</v>
      </c>
      <c r="E92" s="636">
        <v>11.45</v>
      </c>
      <c r="F92" s="898" t="str">
        <f t="shared" si="10"/>
        <v>6.01</v>
      </c>
    </row>
    <row r="93" ht="15.0" customHeight="1">
      <c r="A93" s="599">
        <v>7307.0</v>
      </c>
      <c r="B93" s="600" t="s">
        <v>1458</v>
      </c>
      <c r="C93" s="846" t="s">
        <v>1459</v>
      </c>
      <c r="D93" s="1044">
        <v>0.0025</v>
      </c>
      <c r="E93" s="636">
        <v>42.25</v>
      </c>
      <c r="F93" s="898" t="str">
        <f t="shared" si="10"/>
        <v>0.10</v>
      </c>
    </row>
    <row r="94" ht="17.25" customHeight="1">
      <c r="A94" s="599">
        <v>10997.0</v>
      </c>
      <c r="B94" s="600" t="s">
        <v>1460</v>
      </c>
      <c r="C94" s="846" t="s">
        <v>1456</v>
      </c>
      <c r="D94" s="1044">
        <v>0.013</v>
      </c>
      <c r="E94" s="636">
        <v>29.77</v>
      </c>
      <c r="F94" s="898" t="str">
        <f t="shared" si="10"/>
        <v>0.38</v>
      </c>
    </row>
    <row r="95" ht="14.25" customHeight="1">
      <c r="A95" s="599">
        <v>5318.0</v>
      </c>
      <c r="B95" s="600" t="s">
        <v>1461</v>
      </c>
      <c r="C95" s="846" t="s">
        <v>1459</v>
      </c>
      <c r="D95" s="1044">
        <v>3.0E-4</v>
      </c>
      <c r="E95" s="636">
        <v>18.0</v>
      </c>
      <c r="F95" s="898" t="str">
        <f>ROUNDUP(D95*E95,2)</f>
        <v>0.01</v>
      </c>
    </row>
    <row r="96" ht="14.25" customHeight="1">
      <c r="A96" s="691"/>
      <c r="B96" s="1045"/>
      <c r="C96" s="846"/>
      <c r="D96" s="1046"/>
      <c r="E96" s="728" t="s">
        <v>927</v>
      </c>
      <c r="F96" s="910" t="str">
        <f>SUM(F89:F95)</f>
        <v>12.63</v>
      </c>
    </row>
    <row r="97" ht="14.25" customHeight="1">
      <c r="A97" s="1052"/>
      <c r="B97" s="686" t="s">
        <v>928</v>
      </c>
      <c r="C97" s="127"/>
      <c r="D97" s="127"/>
      <c r="E97" s="712"/>
      <c r="F97" s="1053" t="str">
        <f>F87+F96</f>
        <v>15.23</v>
      </c>
    </row>
    <row r="98" ht="14.25" customHeight="1">
      <c r="A98" s="1054"/>
      <c r="B98" s="1055"/>
      <c r="C98" s="1055"/>
      <c r="D98" s="1055"/>
      <c r="E98" s="1055"/>
      <c r="F98" s="1056"/>
    </row>
    <row r="99" ht="14.25" customHeight="1">
      <c r="A99" s="1029" t="s">
        <v>338</v>
      </c>
      <c r="B99" s="1032" t="s">
        <v>339</v>
      </c>
      <c r="C99" s="1057" t="s">
        <v>1443</v>
      </c>
      <c r="D99" s="1058"/>
      <c r="E99" s="1059"/>
      <c r="F99" s="1060"/>
    </row>
    <row r="100" ht="14.25" customHeight="1">
      <c r="A100" s="1037" t="s">
        <v>1462</v>
      </c>
      <c r="B100" s="561"/>
      <c r="C100" s="561"/>
      <c r="D100" s="561"/>
      <c r="E100" s="561"/>
      <c r="F100" s="124"/>
    </row>
    <row r="101" ht="14.25" customHeight="1">
      <c r="A101" s="1061"/>
      <c r="B101" s="881" t="s">
        <v>1168</v>
      </c>
      <c r="C101" s="1048" t="s">
        <v>919</v>
      </c>
      <c r="D101" s="1049" t="s">
        <v>920</v>
      </c>
      <c r="E101" s="1050" t="s">
        <v>1169</v>
      </c>
      <c r="F101" s="1051" t="s">
        <v>922</v>
      </c>
    </row>
    <row r="102" ht="14.25" customHeight="1">
      <c r="A102" s="1062">
        <v>88278.0</v>
      </c>
      <c r="B102" s="600" t="s">
        <v>1463</v>
      </c>
      <c r="C102" s="846" t="s">
        <v>1445</v>
      </c>
      <c r="D102" s="1044">
        <v>0.02</v>
      </c>
      <c r="E102" s="636">
        <v>17.66</v>
      </c>
      <c r="F102" s="898" t="str">
        <f t="shared" ref="F102:F103" si="11">TRUNC(D102*E102,2)</f>
        <v>0.35</v>
      </c>
    </row>
    <row r="103" ht="14.25" customHeight="1">
      <c r="A103" s="1062">
        <v>88240.0</v>
      </c>
      <c r="B103" s="600" t="s">
        <v>1449</v>
      </c>
      <c r="C103" s="846" t="s">
        <v>1445</v>
      </c>
      <c r="D103" s="1044">
        <v>0.06</v>
      </c>
      <c r="E103" s="636">
        <v>14.26</v>
      </c>
      <c r="F103" s="898" t="str">
        <f t="shared" si="11"/>
        <v>0.85</v>
      </c>
    </row>
    <row r="104" ht="14.25" customHeight="1">
      <c r="A104" s="691"/>
      <c r="B104" s="1045"/>
      <c r="C104" s="846"/>
      <c r="D104" s="1046"/>
      <c r="E104" s="728" t="s">
        <v>927</v>
      </c>
      <c r="F104" s="910" t="str">
        <f>SUM(F102:F103)</f>
        <v>1.20</v>
      </c>
    </row>
    <row r="105" ht="14.25" customHeight="1">
      <c r="A105" s="1047" t="s">
        <v>1451</v>
      </c>
      <c r="B105" s="881" t="s">
        <v>1452</v>
      </c>
      <c r="C105" s="1048" t="s">
        <v>919</v>
      </c>
      <c r="D105" s="1049" t="s">
        <v>920</v>
      </c>
      <c r="E105" s="1050" t="s">
        <v>1169</v>
      </c>
      <c r="F105" s="1051" t="s">
        <v>922</v>
      </c>
      <c r="I105" s="739"/>
    </row>
    <row r="106" ht="14.25" customHeight="1">
      <c r="A106" s="599">
        <v>89272.0</v>
      </c>
      <c r="B106" s="600" t="s">
        <v>1464</v>
      </c>
      <c r="C106" s="846" t="s">
        <v>1157</v>
      </c>
      <c r="D106" s="1044">
        <v>0.01</v>
      </c>
      <c r="E106" s="636">
        <v>200.88</v>
      </c>
      <c r="F106" s="898" t="str">
        <f>TRUNC(D106*E106,2)</f>
        <v>2.00</v>
      </c>
    </row>
    <row r="107" ht="14.25" customHeight="1">
      <c r="A107" s="691"/>
      <c r="B107" s="1045"/>
      <c r="C107" s="846"/>
      <c r="D107" s="1046"/>
      <c r="E107" s="728" t="s">
        <v>927</v>
      </c>
      <c r="F107" s="910" t="str">
        <f>SUM(F106)</f>
        <v>2.00</v>
      </c>
    </row>
    <row r="108" ht="14.25" customHeight="1">
      <c r="A108" s="1052"/>
      <c r="B108" s="686" t="s">
        <v>928</v>
      </c>
      <c r="C108" s="127"/>
      <c r="D108" s="127"/>
      <c r="E108" s="712"/>
      <c r="F108" s="1053" t="str">
        <f>F104+F107</f>
        <v>3.20</v>
      </c>
    </row>
    <row r="109" ht="14.25" customHeight="1">
      <c r="A109" s="158"/>
      <c r="F109" s="159"/>
    </row>
    <row r="110" ht="14.25" customHeight="1">
      <c r="A110" s="1029" t="s">
        <v>341</v>
      </c>
      <c r="B110" s="1032" t="s">
        <v>342</v>
      </c>
      <c r="C110" s="1057" t="s">
        <v>1465</v>
      </c>
      <c r="D110" s="1058"/>
      <c r="E110" s="1059"/>
      <c r="F110" s="1060"/>
    </row>
    <row r="111" ht="14.25" customHeight="1">
      <c r="A111" s="1037" t="s">
        <v>1466</v>
      </c>
      <c r="B111" s="561"/>
      <c r="C111" s="561"/>
      <c r="D111" s="561"/>
      <c r="E111" s="561"/>
      <c r="F111" s="124"/>
    </row>
    <row r="112" ht="14.25" customHeight="1">
      <c r="A112" s="1061"/>
      <c r="B112" s="881" t="s">
        <v>1168</v>
      </c>
      <c r="C112" s="1048" t="s">
        <v>919</v>
      </c>
      <c r="D112" s="1049" t="s">
        <v>920</v>
      </c>
      <c r="E112" s="1050" t="s">
        <v>1169</v>
      </c>
      <c r="F112" s="1051" t="s">
        <v>922</v>
      </c>
    </row>
    <row r="113" ht="14.25" customHeight="1">
      <c r="A113" s="1062">
        <v>88309.0</v>
      </c>
      <c r="B113" s="600" t="s">
        <v>964</v>
      </c>
      <c r="C113" s="846" t="s">
        <v>1445</v>
      </c>
      <c r="D113" s="1044">
        <v>0.15</v>
      </c>
      <c r="E113" s="636">
        <v>24.59</v>
      </c>
      <c r="F113" s="898" t="str">
        <f t="shared" ref="F113:F114" si="12">TRUNC(D113*E113,2)</f>
        <v>3.68</v>
      </c>
    </row>
    <row r="114" ht="14.25" customHeight="1">
      <c r="A114" s="599">
        <v>88316.0</v>
      </c>
      <c r="B114" s="600" t="s">
        <v>935</v>
      </c>
      <c r="C114" s="846" t="s">
        <v>1445</v>
      </c>
      <c r="D114" s="1063">
        <v>0.15</v>
      </c>
      <c r="E114" s="1064">
        <v>19.45</v>
      </c>
      <c r="F114" s="898" t="str">
        <f t="shared" si="12"/>
        <v>2.91</v>
      </c>
    </row>
    <row r="115" ht="14.25" customHeight="1">
      <c r="A115" s="691"/>
      <c r="B115" s="1045" t="s">
        <v>1467</v>
      </c>
      <c r="C115" s="846"/>
      <c r="D115" s="1046"/>
      <c r="E115" s="1065"/>
      <c r="F115" s="910" t="str">
        <f>SUM(F113:F114)</f>
        <v>6.59</v>
      </c>
    </row>
    <row r="116" ht="14.25" customHeight="1">
      <c r="A116" s="1047" t="s">
        <v>1451</v>
      </c>
      <c r="B116" s="881" t="s">
        <v>1452</v>
      </c>
      <c r="C116" s="1048" t="s">
        <v>919</v>
      </c>
      <c r="D116" s="1049" t="s">
        <v>920</v>
      </c>
      <c r="E116" s="1050" t="s">
        <v>1169</v>
      </c>
      <c r="F116" s="1051" t="s">
        <v>922</v>
      </c>
    </row>
    <row r="117" ht="14.25" customHeight="1">
      <c r="A117" s="599" t="s">
        <v>966</v>
      </c>
      <c r="B117" s="600" t="s">
        <v>1468</v>
      </c>
      <c r="C117" s="846" t="s">
        <v>1465</v>
      </c>
      <c r="D117" s="1044">
        <v>1.0</v>
      </c>
      <c r="E117" s="636" t="str">
        <f>C124</f>
        <v>1.55</v>
      </c>
      <c r="F117" s="898" t="str">
        <f>TRUNC(D117*E117,2)</f>
        <v>1.55</v>
      </c>
    </row>
    <row r="118" ht="14.25" customHeight="1">
      <c r="A118" s="691"/>
      <c r="B118" s="1045" t="s">
        <v>1467</v>
      </c>
      <c r="C118" s="846"/>
      <c r="D118" s="1046"/>
      <c r="E118" s="1065"/>
      <c r="F118" s="910" t="str">
        <f>SUM(F117)</f>
        <v>1.55</v>
      </c>
    </row>
    <row r="119" ht="14.25" customHeight="1">
      <c r="A119" s="1052"/>
      <c r="B119" s="686" t="s">
        <v>928</v>
      </c>
      <c r="C119" s="127"/>
      <c r="D119" s="127"/>
      <c r="E119" s="712"/>
      <c r="F119" s="1053" t="str">
        <f>F115+F118</f>
        <v>8.14</v>
      </c>
    </row>
    <row r="120" ht="14.25" customHeight="1">
      <c r="A120" s="1066"/>
      <c r="B120" s="731" t="s">
        <v>971</v>
      </c>
      <c r="C120" s="732"/>
      <c r="D120" s="732"/>
      <c r="E120" s="733"/>
      <c r="F120" s="1067"/>
    </row>
    <row r="121" ht="14.25" customHeight="1">
      <c r="A121" s="1068" t="s">
        <v>1469</v>
      </c>
      <c r="B121" s="1069" t="str">
        <f t="shared" ref="B121:C121" si="13">B117</f>
        <v>PARAFUSO DE ACO TIPO CHUMBADOR PARABOLT, WALSYWA CBPL 14300 1/4" </v>
      </c>
      <c r="C121" s="1070" t="str">
        <f t="shared" si="13"/>
        <v>UN </v>
      </c>
      <c r="D121" s="1071" t="s">
        <v>975</v>
      </c>
      <c r="E121" s="555"/>
      <c r="F121" s="1072" t="s">
        <v>1470</v>
      </c>
    </row>
    <row r="122" ht="14.25" customHeight="1">
      <c r="A122" s="740">
        <v>44890.0</v>
      </c>
      <c r="B122" s="1073" t="s">
        <v>1471</v>
      </c>
      <c r="C122" s="1046">
        <v>1.55</v>
      </c>
      <c r="D122" s="1074" t="s">
        <v>1472</v>
      </c>
      <c r="E122" s="41"/>
      <c r="F122" s="1075" t="s">
        <v>1473</v>
      </c>
      <c r="H122" s="204"/>
    </row>
    <row r="123" ht="23.25" customHeight="1">
      <c r="A123" s="740"/>
      <c r="B123" s="194" t="s">
        <v>1474</v>
      </c>
      <c r="C123" s="1046"/>
      <c r="D123" s="1076" t="s">
        <v>1475</v>
      </c>
      <c r="E123" s="41"/>
      <c r="F123" s="1075"/>
    </row>
    <row r="124" ht="14.25" customHeight="1">
      <c r="A124" s="1077"/>
      <c r="B124" s="1078" t="s">
        <v>986</v>
      </c>
      <c r="C124" s="1079" t="str">
        <f>MEDIAN(C122:C123)</f>
        <v>1.55</v>
      </c>
      <c r="D124" s="1080"/>
      <c r="E124" s="712"/>
      <c r="F124" s="1081"/>
    </row>
    <row r="125" ht="27.0" customHeight="1">
      <c r="A125" s="1082" t="s">
        <v>1476</v>
      </c>
      <c r="B125" s="28"/>
      <c r="C125" s="28"/>
      <c r="D125" s="28"/>
      <c r="E125" s="28"/>
      <c r="F125" s="29"/>
    </row>
    <row r="126" ht="5.25" customHeight="1"/>
    <row r="127" ht="14.25" customHeight="1"/>
    <row r="128" ht="14.25" customHeight="1"/>
    <row r="129" ht="14.25" customHeight="1"/>
    <row r="130" ht="14.25" customHeight="1"/>
    <row r="131" ht="14.25" customHeight="1"/>
    <row r="132" ht="31.5" customHeight="1"/>
    <row r="133" ht="14.25" customHeight="1"/>
    <row r="134" ht="14.25" customHeight="1"/>
    <row r="135" ht="14.25" customHeight="1"/>
    <row r="136" ht="14.25" customHeight="1"/>
    <row r="137" ht="14.25" customHeight="1"/>
    <row r="138" ht="14.25" customHeight="1"/>
    <row r="139" ht="14.25" customHeight="1">
      <c r="H139" s="204" t="s">
        <v>1477</v>
      </c>
    </row>
  </sheetData>
  <mergeCells count="27">
    <mergeCell ref="D122:E122"/>
    <mergeCell ref="D123:E123"/>
    <mergeCell ref="B97:E97"/>
    <mergeCell ref="A100:F100"/>
    <mergeCell ref="A125:F125"/>
    <mergeCell ref="B120:E120"/>
    <mergeCell ref="B108:E108"/>
    <mergeCell ref="A111:F111"/>
    <mergeCell ref="B119:E119"/>
    <mergeCell ref="D121:E121"/>
    <mergeCell ref="D124:E124"/>
    <mergeCell ref="D14:E14"/>
    <mergeCell ref="A15:F15"/>
    <mergeCell ref="B27:E27"/>
    <mergeCell ref="B28:E28"/>
    <mergeCell ref="D59:E59"/>
    <mergeCell ref="D29:E29"/>
    <mergeCell ref="D40:E40"/>
    <mergeCell ref="A41:F41"/>
    <mergeCell ref="B38:E38"/>
    <mergeCell ref="A76:F76"/>
    <mergeCell ref="A79:F79"/>
    <mergeCell ref="A13:F13"/>
    <mergeCell ref="B57:E57"/>
    <mergeCell ref="B75:E75"/>
    <mergeCell ref="A60:F60"/>
    <mergeCell ref="A30:F30"/>
  </mergeCells>
  <printOptions horizontalCentered="1"/>
  <pageMargins bottom="0.7874015748031497" footer="0.0" header="0.0" left="0.5118110236220472" right="0.5118110236220472" top="0.7874015748031497"/>
  <pageSetup paperSize="9" scale="70"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86"/>
    <col customWidth="1" min="2" max="2" width="57.86"/>
    <col customWidth="1" min="3" max="3" width="10.0"/>
    <col customWidth="1" min="4" max="4" width="9.29"/>
    <col customWidth="1" min="5" max="5" width="11.14"/>
    <col customWidth="1" min="6" max="6" width="19.14"/>
    <col customWidth="1" min="7" max="7" width="14.43"/>
    <col customWidth="1" min="8" max="8" width="21.71"/>
    <col customWidth="1" min="9" max="9" width="21.43"/>
    <col customWidth="1" min="10" max="10" width="13.29"/>
    <col customWidth="1" min="11" max="11" width="8.71"/>
  </cols>
  <sheetData>
    <row r="1" ht="3.75" customHeight="1"/>
    <row r="2" ht="14.25" customHeight="1">
      <c r="A2" s="576" t="s">
        <v>0</v>
      </c>
      <c r="B2" s="569" t="str">
        <f>'PLANILHA SEM DESON'!B7:C7</f>
        <v>SEMA-PRO-2022/00145</v>
      </c>
      <c r="C2" s="569"/>
      <c r="D2" s="569"/>
      <c r="E2" s="579" t="s">
        <v>916</v>
      </c>
      <c r="F2" s="886" t="str">
        <f>'PLANILHA SEM DESON'!I10</f>
        <v>11/30/2022</v>
      </c>
    </row>
    <row r="3" ht="14.25" customHeight="1">
      <c r="A3" s="581" t="s">
        <v>21</v>
      </c>
      <c r="B3" t="str">
        <f>'PLANILHA SEM DESON'!B8:C8</f>
        <v>CONSTRUÇÃO DE DIRETORIA DE UNIDADE DESCONCENTRADA DA SEMA - DUDS</v>
      </c>
      <c r="F3" s="159"/>
    </row>
    <row r="4" ht="14.25" customHeight="1">
      <c r="A4" s="581" t="s">
        <v>23</v>
      </c>
      <c r="B4" t="str">
        <f>'PLANILHA SEM DESON'!B9:C9</f>
        <v>Rua Erichin, esquina com Rua Circular - Bairro Residencial Arco Íris</v>
      </c>
      <c r="F4" s="159"/>
    </row>
    <row r="5" ht="14.25" customHeight="1">
      <c r="A5" s="581" t="s">
        <v>26</v>
      </c>
      <c r="B5" t="str">
        <f>'PLANILHA SEM DESON'!B10:C10</f>
        <v>CONFRESA - MT</v>
      </c>
      <c r="F5" s="159"/>
    </row>
    <row r="6" ht="14.25" customHeight="1">
      <c r="A6" s="583" t="s">
        <v>29</v>
      </c>
      <c r="B6" s="574" t="str">
        <f>'PLANILHA SEM DESON'!B11</f>
        <v>CONSTRUÇÃO </v>
      </c>
      <c r="C6" s="574"/>
      <c r="D6" s="574"/>
      <c r="E6" s="574"/>
      <c r="F6" s="575"/>
    </row>
    <row r="7" ht="3.75" customHeight="1"/>
    <row r="8" ht="14.25" customHeight="1">
      <c r="A8" s="586" t="s">
        <v>1478</v>
      </c>
      <c r="B8" s="28"/>
      <c r="C8" s="28"/>
      <c r="D8" s="28"/>
      <c r="E8" s="28"/>
      <c r="F8" s="29"/>
      <c r="H8" s="1083"/>
    </row>
    <row r="9" ht="14.25" customHeight="1">
      <c r="A9" s="657" t="s">
        <v>572</v>
      </c>
      <c r="B9" s="1084" t="s">
        <v>1479</v>
      </c>
      <c r="C9" s="1085" t="s">
        <v>46</v>
      </c>
      <c r="D9" s="590"/>
      <c r="E9" s="591"/>
      <c r="F9" s="626"/>
      <c r="G9" s="6"/>
      <c r="H9" s="6"/>
    </row>
    <row r="10" ht="14.25" customHeight="1">
      <c r="A10" s="817" t="s">
        <v>1480</v>
      </c>
      <c r="B10" s="561"/>
      <c r="C10" s="561"/>
      <c r="D10" s="561"/>
      <c r="E10" s="561"/>
      <c r="F10" s="124"/>
    </row>
    <row r="11" ht="14.25" customHeight="1">
      <c r="A11" s="628"/>
      <c r="B11" s="1086" t="s">
        <v>918</v>
      </c>
      <c r="C11" s="1087" t="s">
        <v>919</v>
      </c>
      <c r="D11" s="1088" t="s">
        <v>920</v>
      </c>
      <c r="E11" s="1089" t="s">
        <v>921</v>
      </c>
      <c r="F11" s="1090" t="s">
        <v>922</v>
      </c>
    </row>
    <row r="12" ht="14.25" customHeight="1">
      <c r="A12" s="1091">
        <v>88248.0</v>
      </c>
      <c r="B12" s="1092" t="s">
        <v>1481</v>
      </c>
      <c r="C12" s="1093" t="s">
        <v>924</v>
      </c>
      <c r="D12" s="1094">
        <v>0.108</v>
      </c>
      <c r="E12" s="605">
        <v>20.16</v>
      </c>
      <c r="F12" s="637" t="str">
        <f t="shared" ref="F12:F13" si="1">TRUNC((D12*E12),2)</f>
        <v>2.17</v>
      </c>
    </row>
    <row r="13" ht="14.25" customHeight="1">
      <c r="A13" s="1091">
        <v>88267.0</v>
      </c>
      <c r="B13" s="1092" t="s">
        <v>1002</v>
      </c>
      <c r="C13" s="1093" t="s">
        <v>924</v>
      </c>
      <c r="D13" s="1094">
        <v>0.108</v>
      </c>
      <c r="E13" s="605">
        <v>24.64</v>
      </c>
      <c r="F13" s="637" t="str">
        <f t="shared" si="1"/>
        <v>2.66</v>
      </c>
    </row>
    <row r="14" ht="14.25" customHeight="1">
      <c r="A14" s="497"/>
      <c r="B14" s="688"/>
      <c r="C14" s="1093" t="s">
        <v>910</v>
      </c>
      <c r="D14" s="1095" t="s">
        <v>910</v>
      </c>
      <c r="E14" s="728" t="s">
        <v>927</v>
      </c>
      <c r="F14" s="1096" t="str">
        <f>SUM(F12:F13)</f>
        <v>4.83</v>
      </c>
    </row>
    <row r="15" ht="14.25" customHeight="1">
      <c r="A15" s="497"/>
      <c r="B15" s="1097" t="s">
        <v>936</v>
      </c>
      <c r="C15" s="944" t="s">
        <v>919</v>
      </c>
      <c r="D15" s="945" t="s">
        <v>920</v>
      </c>
      <c r="E15" s="1098" t="s">
        <v>921</v>
      </c>
      <c r="F15" s="1096" t="s">
        <v>922</v>
      </c>
    </row>
    <row r="16" ht="14.25" customHeight="1">
      <c r="A16" s="1091">
        <v>122.0</v>
      </c>
      <c r="B16" s="1092" t="s">
        <v>1482</v>
      </c>
      <c r="C16" s="1093" t="s">
        <v>46</v>
      </c>
      <c r="D16" s="1099">
        <v>0.018</v>
      </c>
      <c r="E16" s="636">
        <v>76.86</v>
      </c>
      <c r="F16" s="637" t="str">
        <f t="shared" ref="F16:F19" si="2">TRUNC((D16*E16),2)</f>
        <v>1.38</v>
      </c>
      <c r="H16" s="567"/>
    </row>
    <row r="17" ht="14.25" customHeight="1">
      <c r="A17" s="1091">
        <v>3540.0</v>
      </c>
      <c r="B17" s="1092" t="s">
        <v>1483</v>
      </c>
      <c r="C17" s="1093" t="s">
        <v>46</v>
      </c>
      <c r="D17" s="1099">
        <v>1.0</v>
      </c>
      <c r="E17" s="636">
        <v>7.0</v>
      </c>
      <c r="F17" s="637" t="str">
        <f t="shared" si="2"/>
        <v>7.00</v>
      </c>
      <c r="H17" s="567"/>
    </row>
    <row r="18" ht="14.25" customHeight="1">
      <c r="A18" s="1091">
        <v>20083.0</v>
      </c>
      <c r="B18" s="1092" t="s">
        <v>1484</v>
      </c>
      <c r="C18" s="1093" t="s">
        <v>46</v>
      </c>
      <c r="D18" s="1094">
        <v>0.022</v>
      </c>
      <c r="E18" s="636">
        <v>87.08</v>
      </c>
      <c r="F18" s="637" t="str">
        <f t="shared" si="2"/>
        <v>1.91</v>
      </c>
      <c r="H18" s="567"/>
    </row>
    <row r="19" ht="14.25" customHeight="1">
      <c r="A19" s="1091">
        <v>38383.0</v>
      </c>
      <c r="B19" s="1092" t="s">
        <v>1485</v>
      </c>
      <c r="C19" s="1093" t="s">
        <v>46</v>
      </c>
      <c r="D19" s="1094">
        <v>0.024</v>
      </c>
      <c r="E19" s="636">
        <v>2.56</v>
      </c>
      <c r="F19" s="637" t="str">
        <f t="shared" si="2"/>
        <v>0.06</v>
      </c>
      <c r="H19" s="567"/>
    </row>
    <row r="20" ht="14.25" customHeight="1">
      <c r="A20" s="803"/>
      <c r="B20" s="1100"/>
      <c r="C20" s="711"/>
      <c r="D20" s="1101"/>
      <c r="E20" s="1102" t="s">
        <v>927</v>
      </c>
      <c r="F20" s="1103" t="str">
        <f>SUM(F16:F19)</f>
        <v>10.35</v>
      </c>
      <c r="H20" s="1104"/>
    </row>
    <row r="21" ht="14.25" customHeight="1">
      <c r="A21" s="611"/>
      <c r="B21" s="656" t="s">
        <v>928</v>
      </c>
      <c r="C21" s="613"/>
      <c r="D21" s="613"/>
      <c r="E21" s="614"/>
      <c r="F21" s="615" t="str">
        <f>F14+F20</f>
        <v>15.18</v>
      </c>
      <c r="H21" s="1104"/>
    </row>
    <row r="22" ht="14.25" customHeight="1"/>
    <row r="23" ht="14.25" customHeight="1">
      <c r="A23" s="657" t="s">
        <v>575</v>
      </c>
      <c r="B23" s="658" t="s">
        <v>576</v>
      </c>
      <c r="C23" s="1085" t="s">
        <v>46</v>
      </c>
      <c r="D23" s="590"/>
      <c r="E23" s="591"/>
      <c r="F23" s="626"/>
      <c r="G23" s="6"/>
      <c r="H23" s="6"/>
    </row>
    <row r="24" ht="15.0" customHeight="1">
      <c r="A24" s="817" t="s">
        <v>1480</v>
      </c>
      <c r="B24" s="561"/>
      <c r="C24" s="561"/>
      <c r="D24" s="561"/>
      <c r="E24" s="561"/>
      <c r="F24" s="124"/>
    </row>
    <row r="25" ht="14.25" customHeight="1">
      <c r="A25" s="628"/>
      <c r="B25" s="1086" t="s">
        <v>918</v>
      </c>
      <c r="C25" s="1087" t="s">
        <v>919</v>
      </c>
      <c r="D25" s="1088" t="s">
        <v>920</v>
      </c>
      <c r="E25" s="1089" t="s">
        <v>921</v>
      </c>
      <c r="F25" s="1090" t="s">
        <v>922</v>
      </c>
    </row>
    <row r="26" ht="14.25" customHeight="1">
      <c r="A26" s="1008" t="s">
        <v>1486</v>
      </c>
      <c r="B26" s="1092" t="s">
        <v>1481</v>
      </c>
      <c r="C26" s="1093" t="s">
        <v>924</v>
      </c>
      <c r="D26" s="1094">
        <v>0.108</v>
      </c>
      <c r="E26" s="605">
        <v>20.16</v>
      </c>
      <c r="F26" s="637" t="str">
        <f t="shared" ref="F26:F27" si="3">TRUNC((D26*E26),2)</f>
        <v>2.17</v>
      </c>
      <c r="H26" s="1105"/>
    </row>
    <row r="27" ht="14.25" customHeight="1">
      <c r="A27" s="1008" t="s">
        <v>1487</v>
      </c>
      <c r="B27" s="1092" t="s">
        <v>1002</v>
      </c>
      <c r="C27" s="1093" t="s">
        <v>924</v>
      </c>
      <c r="D27" s="1094">
        <v>0.108</v>
      </c>
      <c r="E27" s="605">
        <v>24.64</v>
      </c>
      <c r="F27" s="637" t="str">
        <f t="shared" si="3"/>
        <v>2.66</v>
      </c>
      <c r="H27" s="1105"/>
    </row>
    <row r="28" ht="14.25" customHeight="1">
      <c r="A28" s="497"/>
      <c r="B28" s="688"/>
      <c r="C28" s="1093" t="s">
        <v>910</v>
      </c>
      <c r="D28" s="1095" t="s">
        <v>910</v>
      </c>
      <c r="E28" s="728" t="s">
        <v>927</v>
      </c>
      <c r="F28" s="1096" t="str">
        <f>SUM(F26:F27)</f>
        <v>4.83</v>
      </c>
      <c r="H28" s="1105"/>
    </row>
    <row r="29" ht="14.25" customHeight="1">
      <c r="A29" s="497"/>
      <c r="B29" s="1097" t="s">
        <v>936</v>
      </c>
      <c r="C29" s="944" t="s">
        <v>919</v>
      </c>
      <c r="D29" s="945" t="s">
        <v>920</v>
      </c>
      <c r="E29" s="1098" t="s">
        <v>921</v>
      </c>
      <c r="F29" s="1096" t="s">
        <v>922</v>
      </c>
      <c r="H29" s="1105"/>
    </row>
    <row r="30" ht="14.25" customHeight="1">
      <c r="A30" s="1008" t="s">
        <v>1488</v>
      </c>
      <c r="B30" s="1092" t="s">
        <v>1482</v>
      </c>
      <c r="C30" s="1093" t="s">
        <v>46</v>
      </c>
      <c r="D30" s="1099">
        <v>0.018</v>
      </c>
      <c r="E30" s="636">
        <v>76.86</v>
      </c>
      <c r="F30" s="637" t="str">
        <f t="shared" ref="F30:F33" si="4">TRUNC((D30*E30),2)</f>
        <v>1.38</v>
      </c>
      <c r="H30" s="1105"/>
      <c r="I30" s="567"/>
    </row>
    <row r="31" ht="14.25" customHeight="1">
      <c r="A31" s="1008">
        <v>3538.0</v>
      </c>
      <c r="B31" s="600" t="s">
        <v>576</v>
      </c>
      <c r="C31" s="1093" t="s">
        <v>46</v>
      </c>
      <c r="D31" s="1099">
        <v>1.0</v>
      </c>
      <c r="E31" s="636">
        <v>7.26</v>
      </c>
      <c r="F31" s="637" t="str">
        <f t="shared" si="4"/>
        <v>7.26</v>
      </c>
      <c r="H31" s="1105"/>
      <c r="I31" s="567"/>
    </row>
    <row r="32" ht="14.25" customHeight="1">
      <c r="A32" s="1008" t="s">
        <v>1489</v>
      </c>
      <c r="B32" s="1092" t="s">
        <v>1484</v>
      </c>
      <c r="C32" s="1093" t="s">
        <v>46</v>
      </c>
      <c r="D32" s="1094">
        <v>0.022</v>
      </c>
      <c r="E32" s="636">
        <v>87.08</v>
      </c>
      <c r="F32" s="637" t="str">
        <f t="shared" si="4"/>
        <v>1.91</v>
      </c>
      <c r="H32" s="1105"/>
      <c r="I32" s="567"/>
    </row>
    <row r="33" ht="14.25" customHeight="1">
      <c r="A33" s="1008">
        <v>3767.0</v>
      </c>
      <c r="B33" s="1092" t="s">
        <v>1490</v>
      </c>
      <c r="C33" s="1093" t="s">
        <v>46</v>
      </c>
      <c r="D33" s="1094">
        <v>0.024</v>
      </c>
      <c r="E33" s="636">
        <v>1.35</v>
      </c>
      <c r="F33" s="637" t="str">
        <f t="shared" si="4"/>
        <v>0.03</v>
      </c>
      <c r="H33" s="1105"/>
      <c r="I33" s="567"/>
    </row>
    <row r="34" ht="14.25" customHeight="1">
      <c r="A34" s="803"/>
      <c r="B34" s="1100"/>
      <c r="C34" s="711"/>
      <c r="D34" s="1101"/>
      <c r="E34" s="1102" t="s">
        <v>927</v>
      </c>
      <c r="F34" s="1103" t="str">
        <f>SUM(F30:F33)</f>
        <v>10.58</v>
      </c>
    </row>
    <row r="35" ht="14.25" customHeight="1">
      <c r="A35" s="611"/>
      <c r="B35" s="656" t="s">
        <v>928</v>
      </c>
      <c r="C35" s="613"/>
      <c r="D35" s="613"/>
      <c r="E35" s="614"/>
      <c r="F35" s="615" t="str">
        <f>F28+F34</f>
        <v>15.41</v>
      </c>
    </row>
    <row r="36" ht="14.25" customHeight="1"/>
    <row r="37" ht="26.25" customHeight="1">
      <c r="A37" s="657" t="s">
        <v>578</v>
      </c>
      <c r="B37" s="1084" t="s">
        <v>579</v>
      </c>
      <c r="C37" s="1085" t="s">
        <v>46</v>
      </c>
      <c r="D37" s="590"/>
      <c r="E37" s="591"/>
      <c r="F37" s="626"/>
      <c r="H37" s="6"/>
    </row>
    <row r="38" ht="15.0" customHeight="1">
      <c r="A38" s="817" t="s">
        <v>1480</v>
      </c>
      <c r="B38" s="561"/>
      <c r="C38" s="561"/>
      <c r="D38" s="561"/>
      <c r="E38" s="561"/>
      <c r="F38" s="124"/>
    </row>
    <row r="39" ht="14.25" customHeight="1">
      <c r="A39" s="628"/>
      <c r="B39" s="1086" t="s">
        <v>918</v>
      </c>
      <c r="C39" s="1087" t="s">
        <v>919</v>
      </c>
      <c r="D39" s="1088" t="s">
        <v>920</v>
      </c>
      <c r="E39" s="1089" t="s">
        <v>921</v>
      </c>
      <c r="F39" s="1090" t="s">
        <v>922</v>
      </c>
      <c r="H39" s="1106"/>
    </row>
    <row r="40" ht="14.25" customHeight="1">
      <c r="A40" s="1091" t="s">
        <v>1486</v>
      </c>
      <c r="B40" s="1092" t="s">
        <v>1481</v>
      </c>
      <c r="C40" s="1093" t="s">
        <v>924</v>
      </c>
      <c r="D40" s="1094">
        <v>0.108</v>
      </c>
      <c r="E40" s="605">
        <v>20.16</v>
      </c>
      <c r="F40" s="637" t="str">
        <f t="shared" ref="F40:F41" si="5">TRUNC((D40*E40),2)</f>
        <v>2.17</v>
      </c>
      <c r="H40" s="1106"/>
    </row>
    <row r="41" ht="14.25" customHeight="1">
      <c r="A41" s="1091" t="s">
        <v>1487</v>
      </c>
      <c r="B41" s="1092" t="s">
        <v>1002</v>
      </c>
      <c r="C41" s="1093" t="s">
        <v>924</v>
      </c>
      <c r="D41" s="1094">
        <v>0.108</v>
      </c>
      <c r="E41" s="605">
        <v>24.64</v>
      </c>
      <c r="F41" s="637" t="str">
        <f t="shared" si="5"/>
        <v>2.66</v>
      </c>
      <c r="H41" s="1106"/>
    </row>
    <row r="42" ht="14.25" customHeight="1">
      <c r="A42" s="497"/>
      <c r="B42" s="688"/>
      <c r="C42" s="1093" t="s">
        <v>910</v>
      </c>
      <c r="D42" s="1095" t="s">
        <v>910</v>
      </c>
      <c r="E42" s="728" t="s">
        <v>927</v>
      </c>
      <c r="F42" s="1096" t="str">
        <f>SUM(F40:F41)</f>
        <v>4.83</v>
      </c>
      <c r="H42" s="1106"/>
    </row>
    <row r="43" ht="14.25" customHeight="1">
      <c r="A43" s="497"/>
      <c r="B43" s="1097" t="s">
        <v>936</v>
      </c>
      <c r="C43" s="944" t="s">
        <v>919</v>
      </c>
      <c r="D43" s="945" t="s">
        <v>920</v>
      </c>
      <c r="E43" s="1098" t="s">
        <v>921</v>
      </c>
      <c r="F43" s="1096" t="s">
        <v>922</v>
      </c>
      <c r="H43" s="1106"/>
    </row>
    <row r="44" ht="14.25" customHeight="1">
      <c r="A44" s="1091" t="s">
        <v>1488</v>
      </c>
      <c r="B44" s="1092" t="s">
        <v>1482</v>
      </c>
      <c r="C44" s="1093" t="s">
        <v>46</v>
      </c>
      <c r="D44" s="1099">
        <v>0.018</v>
      </c>
      <c r="E44" s="636">
        <v>76.86</v>
      </c>
      <c r="F44" s="637" t="str">
        <f t="shared" ref="F44:F47" si="6">TRUNC((D44*E44),2)</f>
        <v>1.38</v>
      </c>
      <c r="H44" s="1107"/>
      <c r="I44" s="1108"/>
    </row>
    <row r="45" ht="14.25" customHeight="1">
      <c r="A45" s="1091">
        <v>3511.0</v>
      </c>
      <c r="B45" s="1092" t="s">
        <v>1491</v>
      </c>
      <c r="C45" s="1093" t="s">
        <v>46</v>
      </c>
      <c r="D45" s="1099">
        <v>1.0</v>
      </c>
      <c r="E45" s="636">
        <v>119.64</v>
      </c>
      <c r="F45" s="637" t="str">
        <f t="shared" si="6"/>
        <v>119.64</v>
      </c>
      <c r="H45" s="1107"/>
      <c r="I45" s="1108"/>
    </row>
    <row r="46" ht="14.25" customHeight="1">
      <c r="A46" s="1091" t="s">
        <v>1489</v>
      </c>
      <c r="B46" s="1092" t="s">
        <v>1484</v>
      </c>
      <c r="C46" s="1093" t="s">
        <v>46</v>
      </c>
      <c r="D46" s="1094">
        <v>0.022</v>
      </c>
      <c r="E46" s="636">
        <v>87.08</v>
      </c>
      <c r="F46" s="637" t="str">
        <f t="shared" si="6"/>
        <v>1.91</v>
      </c>
      <c r="H46" s="1107"/>
      <c r="I46" s="1108"/>
    </row>
    <row r="47" ht="14.25" customHeight="1">
      <c r="A47" s="1091">
        <v>3767.0</v>
      </c>
      <c r="B47" s="1092" t="s">
        <v>1490</v>
      </c>
      <c r="C47" s="1093" t="s">
        <v>46</v>
      </c>
      <c r="D47" s="1094">
        <v>0.024</v>
      </c>
      <c r="E47" s="636">
        <v>1.35</v>
      </c>
      <c r="F47" s="637" t="str">
        <f t="shared" si="6"/>
        <v>0.03</v>
      </c>
      <c r="H47" s="1107"/>
      <c r="I47" s="1108"/>
    </row>
    <row r="48" ht="14.25" customHeight="1">
      <c r="A48" s="803"/>
      <c r="B48" s="1100"/>
      <c r="C48" s="711"/>
      <c r="D48" s="1101"/>
      <c r="E48" s="1102" t="s">
        <v>927</v>
      </c>
      <c r="F48" s="1103" t="str">
        <f>SUM(F44:F47)</f>
        <v>122.96</v>
      </c>
      <c r="H48" s="1109"/>
      <c r="I48" s="1109"/>
    </row>
    <row r="49" ht="14.25" customHeight="1">
      <c r="A49" s="611"/>
      <c r="B49" s="656" t="s">
        <v>928</v>
      </c>
      <c r="C49" s="613"/>
      <c r="D49" s="613"/>
      <c r="E49" s="614"/>
      <c r="F49" s="615" t="str">
        <f>F42+F48</f>
        <v>127.79</v>
      </c>
      <c r="H49" s="1109"/>
      <c r="I49" s="1109"/>
    </row>
    <row r="50" ht="14.25" customHeight="1">
      <c r="H50" s="1109"/>
      <c r="I50" s="1109"/>
    </row>
    <row r="51" ht="14.25" customHeight="1">
      <c r="A51" s="888" t="s">
        <v>581</v>
      </c>
      <c r="B51" s="774" t="s">
        <v>582</v>
      </c>
      <c r="C51" s="1110" t="s">
        <v>46</v>
      </c>
      <c r="D51" s="776"/>
      <c r="E51" s="777"/>
      <c r="F51" s="1111"/>
      <c r="G51" s="6"/>
      <c r="H51" s="6"/>
    </row>
    <row r="52" ht="14.25" customHeight="1">
      <c r="A52" s="1112" t="s">
        <v>1492</v>
      </c>
      <c r="B52" s="107"/>
      <c r="C52" s="107"/>
      <c r="D52" s="107"/>
      <c r="E52" s="107"/>
      <c r="F52" s="781"/>
    </row>
    <row r="53" ht="14.25" customHeight="1">
      <c r="A53" s="628"/>
      <c r="B53" s="1086" t="s">
        <v>918</v>
      </c>
      <c r="C53" s="1087" t="s">
        <v>919</v>
      </c>
      <c r="D53" s="1088" t="s">
        <v>920</v>
      </c>
      <c r="E53" s="1089" t="s">
        <v>921</v>
      </c>
      <c r="F53" s="1090" t="s">
        <v>922</v>
      </c>
    </row>
    <row r="54" ht="14.25" customHeight="1">
      <c r="A54" s="1008" t="s">
        <v>1486</v>
      </c>
      <c r="B54" s="1092" t="s">
        <v>1481</v>
      </c>
      <c r="C54" s="1093" t="s">
        <v>924</v>
      </c>
      <c r="D54" s="1094">
        <v>0.6</v>
      </c>
      <c r="E54" s="605">
        <v>20.16</v>
      </c>
      <c r="F54" s="637" t="str">
        <f t="shared" ref="F54:F55" si="7">TRUNC((D54*E54),2)</f>
        <v>12.09</v>
      </c>
    </row>
    <row r="55" ht="14.25" customHeight="1">
      <c r="A55" s="1008" t="s">
        <v>1487</v>
      </c>
      <c r="B55" s="1092" t="s">
        <v>1002</v>
      </c>
      <c r="C55" s="1093" t="s">
        <v>924</v>
      </c>
      <c r="D55" s="1094">
        <v>0.6</v>
      </c>
      <c r="E55" s="605">
        <v>24.64</v>
      </c>
      <c r="F55" s="637" t="str">
        <f t="shared" si="7"/>
        <v>14.78</v>
      </c>
    </row>
    <row r="56" ht="14.25" customHeight="1">
      <c r="A56" s="497"/>
      <c r="B56" s="688"/>
      <c r="C56" s="1093" t="s">
        <v>910</v>
      </c>
      <c r="D56" s="1095" t="s">
        <v>910</v>
      </c>
      <c r="E56" s="728" t="s">
        <v>927</v>
      </c>
      <c r="F56" s="1096" t="str">
        <f>SUM(F54:F55)</f>
        <v>26.87</v>
      </c>
    </row>
    <row r="57" ht="14.25" customHeight="1">
      <c r="A57" s="497"/>
      <c r="B57" s="1097" t="s">
        <v>936</v>
      </c>
      <c r="C57" s="944" t="s">
        <v>919</v>
      </c>
      <c r="D57" s="945" t="s">
        <v>920</v>
      </c>
      <c r="E57" s="1098" t="s">
        <v>921</v>
      </c>
      <c r="F57" s="1096" t="s">
        <v>922</v>
      </c>
    </row>
    <row r="58" ht="14.25" customHeight="1">
      <c r="A58" s="1008">
        <v>1413.0</v>
      </c>
      <c r="B58" s="600" t="s">
        <v>1493</v>
      </c>
      <c r="C58" s="1093" t="s">
        <v>46</v>
      </c>
      <c r="D58" s="1099">
        <v>1.0</v>
      </c>
      <c r="E58" s="636">
        <v>16.72</v>
      </c>
      <c r="F58" s="637" t="str">
        <f t="shared" ref="F58:F60" si="8">TRUNC((D58*E58),2)</f>
        <v>16.72</v>
      </c>
    </row>
    <row r="59" ht="14.25" customHeight="1">
      <c r="A59" s="1008">
        <v>3148.0</v>
      </c>
      <c r="B59" s="600" t="s">
        <v>1494</v>
      </c>
      <c r="C59" s="1093" t="s">
        <v>46</v>
      </c>
      <c r="D59" s="1099">
        <v>0.009</v>
      </c>
      <c r="E59" s="636">
        <v>17.99</v>
      </c>
      <c r="F59" s="637" t="str">
        <f t="shared" si="8"/>
        <v>0.16</v>
      </c>
    </row>
    <row r="60" ht="14.25" customHeight="1">
      <c r="A60" s="1008">
        <v>3907.0</v>
      </c>
      <c r="B60" s="600" t="s">
        <v>1495</v>
      </c>
      <c r="C60" s="1093" t="s">
        <v>46</v>
      </c>
      <c r="D60" s="1094">
        <v>1.0</v>
      </c>
      <c r="E60" s="636">
        <v>7.53</v>
      </c>
      <c r="F60" s="637" t="str">
        <f t="shared" si="8"/>
        <v>7.53</v>
      </c>
    </row>
    <row r="61" ht="14.25" customHeight="1">
      <c r="A61" s="803"/>
      <c r="B61" s="1100"/>
      <c r="C61" s="711"/>
      <c r="D61" s="1101"/>
      <c r="E61" s="1102" t="s">
        <v>927</v>
      </c>
      <c r="F61" s="1103" t="str">
        <f>SUM(F58:F60)</f>
        <v>24.41</v>
      </c>
    </row>
    <row r="62" ht="14.25" customHeight="1">
      <c r="A62" s="611"/>
      <c r="B62" s="656" t="s">
        <v>928</v>
      </c>
      <c r="C62" s="613"/>
      <c r="D62" s="613"/>
      <c r="E62" s="614"/>
      <c r="F62" s="615" t="str">
        <f>F56+F61</f>
        <v>51.28</v>
      </c>
    </row>
    <row r="63" ht="14.25" customHeight="1"/>
    <row r="64" ht="14.25" customHeight="1">
      <c r="A64" s="657" t="s">
        <v>590</v>
      </c>
      <c r="B64" s="1084" t="s">
        <v>591</v>
      </c>
      <c r="C64" s="1085" t="s">
        <v>69</v>
      </c>
      <c r="D64" s="590"/>
      <c r="E64" s="591"/>
      <c r="F64" s="626"/>
      <c r="G64" s="6"/>
      <c r="H64" s="6"/>
    </row>
    <row r="65" ht="14.25" customHeight="1">
      <c r="A65" s="817" t="s">
        <v>1496</v>
      </c>
      <c r="B65" s="561"/>
      <c r="C65" s="561"/>
      <c r="D65" s="561"/>
      <c r="E65" s="561"/>
      <c r="F65" s="124"/>
    </row>
    <row r="66" ht="14.25" customHeight="1">
      <c r="A66" s="628"/>
      <c r="B66" s="1086" t="s">
        <v>918</v>
      </c>
      <c r="C66" s="1087" t="s">
        <v>919</v>
      </c>
      <c r="D66" s="1088" t="s">
        <v>920</v>
      </c>
      <c r="E66" s="1089" t="s">
        <v>921</v>
      </c>
      <c r="F66" s="1090" t="s">
        <v>922</v>
      </c>
    </row>
    <row r="67" ht="14.25" customHeight="1">
      <c r="A67" s="1091" t="s">
        <v>1486</v>
      </c>
      <c r="B67" s="1092" t="s">
        <v>1481</v>
      </c>
      <c r="C67" s="1093" t="s">
        <v>924</v>
      </c>
      <c r="D67" s="1094">
        <v>0.029</v>
      </c>
      <c r="E67" s="605">
        <v>20.16</v>
      </c>
      <c r="F67" s="637" t="str">
        <f t="shared" ref="F67:F68" si="9">TRUNC((D67*E67),2)</f>
        <v>0.58</v>
      </c>
    </row>
    <row r="68" ht="14.25" customHeight="1">
      <c r="A68" s="1091" t="s">
        <v>1487</v>
      </c>
      <c r="B68" s="1092" t="s">
        <v>1002</v>
      </c>
      <c r="C68" s="1093" t="s">
        <v>924</v>
      </c>
      <c r="D68" s="1094">
        <v>0.029</v>
      </c>
      <c r="E68" s="605">
        <v>24.64</v>
      </c>
      <c r="F68" s="637" t="str">
        <f t="shared" si="9"/>
        <v>0.71</v>
      </c>
    </row>
    <row r="69" ht="14.25" customHeight="1">
      <c r="A69" s="497"/>
      <c r="B69" s="688"/>
      <c r="C69" s="1093" t="s">
        <v>910</v>
      </c>
      <c r="D69" s="1095" t="s">
        <v>910</v>
      </c>
      <c r="E69" s="728" t="s">
        <v>927</v>
      </c>
      <c r="F69" s="1096" t="str">
        <f>SUM(F67:F68)</f>
        <v>1.29</v>
      </c>
    </row>
    <row r="70" ht="14.25" customHeight="1">
      <c r="A70" s="497"/>
      <c r="B70" s="1097" t="s">
        <v>936</v>
      </c>
      <c r="C70" s="944" t="s">
        <v>919</v>
      </c>
      <c r="D70" s="945" t="s">
        <v>920</v>
      </c>
      <c r="E70" s="1098" t="s">
        <v>921</v>
      </c>
      <c r="F70" s="1096" t="s">
        <v>922</v>
      </c>
    </row>
    <row r="71" ht="14.25" customHeight="1">
      <c r="A71" s="1091">
        <v>9875.0</v>
      </c>
      <c r="B71" s="1092" t="s">
        <v>1497</v>
      </c>
      <c r="C71" s="1093" t="s">
        <v>46</v>
      </c>
      <c r="D71" s="1094">
        <v>1.061</v>
      </c>
      <c r="E71" s="636">
        <v>19.72</v>
      </c>
      <c r="F71" s="637" t="str">
        <f t="shared" ref="F71:F72" si="10">TRUNC((D71*E71),2)</f>
        <v>20.92</v>
      </c>
    </row>
    <row r="72" ht="14.25" customHeight="1">
      <c r="A72" s="1091">
        <v>38383.0</v>
      </c>
      <c r="B72" s="1092" t="s">
        <v>1485</v>
      </c>
      <c r="C72" s="1093" t="s">
        <v>46</v>
      </c>
      <c r="D72" s="1094">
        <v>0.01</v>
      </c>
      <c r="E72" s="605">
        <v>2.56</v>
      </c>
      <c r="F72" s="637" t="str">
        <f t="shared" si="10"/>
        <v>0.02</v>
      </c>
    </row>
    <row r="73" ht="14.25" customHeight="1">
      <c r="A73" s="803"/>
      <c r="B73" s="1100"/>
      <c r="C73" s="711"/>
      <c r="D73" s="1101"/>
      <c r="E73" s="1102" t="s">
        <v>927</v>
      </c>
      <c r="F73" s="1103" t="str">
        <f>SUM(F71:F72)</f>
        <v>20.94</v>
      </c>
    </row>
    <row r="74" ht="14.25" customHeight="1">
      <c r="A74" s="611"/>
      <c r="B74" s="656" t="s">
        <v>928</v>
      </c>
      <c r="C74" s="613"/>
      <c r="D74" s="613"/>
      <c r="E74" s="614"/>
      <c r="F74" s="615" t="str">
        <f>F69+F73</f>
        <v>22.23</v>
      </c>
    </row>
    <row r="75" ht="14.25" customHeight="1"/>
    <row r="76" ht="14.25" customHeight="1">
      <c r="A76" s="657" t="s">
        <v>611</v>
      </c>
      <c r="B76" s="1084" t="s">
        <v>612</v>
      </c>
      <c r="C76" s="1085" t="s">
        <v>46</v>
      </c>
      <c r="D76" s="590"/>
      <c r="E76" s="591"/>
      <c r="F76" s="626"/>
      <c r="G76" s="6"/>
      <c r="H76" s="6"/>
    </row>
    <row r="77" ht="14.25" customHeight="1">
      <c r="A77" s="817" t="s">
        <v>1498</v>
      </c>
      <c r="B77" s="561"/>
      <c r="C77" s="561"/>
      <c r="D77" s="561"/>
      <c r="E77" s="561"/>
      <c r="F77" s="124"/>
    </row>
    <row r="78" ht="14.25" customHeight="1">
      <c r="A78" s="628"/>
      <c r="B78" s="1086" t="s">
        <v>918</v>
      </c>
      <c r="C78" s="1087" t="s">
        <v>919</v>
      </c>
      <c r="D78" s="1088" t="s">
        <v>920</v>
      </c>
      <c r="E78" s="1089" t="s">
        <v>921</v>
      </c>
      <c r="F78" s="1090" t="s">
        <v>922</v>
      </c>
    </row>
    <row r="79" ht="14.25" customHeight="1">
      <c r="A79" s="1091" t="s">
        <v>1486</v>
      </c>
      <c r="B79" s="1092" t="s">
        <v>1481</v>
      </c>
      <c r="C79" s="1093" t="s">
        <v>924</v>
      </c>
      <c r="D79" s="1094">
        <v>0.072</v>
      </c>
      <c r="E79" s="605">
        <v>20.16</v>
      </c>
      <c r="F79" s="637" t="str">
        <f t="shared" ref="F79:F80" si="11">TRUNC((D79*E79),2)</f>
        <v>1.45</v>
      </c>
    </row>
    <row r="80" ht="14.25" customHeight="1">
      <c r="A80" s="1091" t="s">
        <v>1487</v>
      </c>
      <c r="B80" s="1092" t="s">
        <v>1002</v>
      </c>
      <c r="C80" s="1093" t="s">
        <v>924</v>
      </c>
      <c r="D80" s="1094">
        <v>0.072</v>
      </c>
      <c r="E80" s="605">
        <v>24.64</v>
      </c>
      <c r="F80" s="637" t="str">
        <f t="shared" si="11"/>
        <v>1.77</v>
      </c>
    </row>
    <row r="81" ht="14.25" customHeight="1">
      <c r="A81" s="497"/>
      <c r="B81" s="688"/>
      <c r="C81" s="1093" t="s">
        <v>910</v>
      </c>
      <c r="D81" s="1095" t="s">
        <v>910</v>
      </c>
      <c r="E81" s="728" t="s">
        <v>927</v>
      </c>
      <c r="F81" s="1096" t="str">
        <f>SUM(F79:F80)</f>
        <v>3.22</v>
      </c>
    </row>
    <row r="82" ht="14.25" customHeight="1">
      <c r="A82" s="497"/>
      <c r="B82" s="1097" t="s">
        <v>936</v>
      </c>
      <c r="C82" s="944" t="s">
        <v>919</v>
      </c>
      <c r="D82" s="945" t="s">
        <v>920</v>
      </c>
      <c r="E82" s="1098" t="s">
        <v>921</v>
      </c>
      <c r="F82" s="1096" t="s">
        <v>922</v>
      </c>
    </row>
    <row r="83" ht="14.25" customHeight="1">
      <c r="A83" s="1091">
        <v>112.0</v>
      </c>
      <c r="B83" s="635" t="s">
        <v>1499</v>
      </c>
      <c r="C83" s="1093" t="s">
        <v>46</v>
      </c>
      <c r="D83" s="1094">
        <v>1.0</v>
      </c>
      <c r="E83" s="636">
        <v>6.25</v>
      </c>
      <c r="F83" s="637" t="str">
        <f t="shared" ref="F83:F86" si="12">TRUNC((D83*E83),2)</f>
        <v>6.25</v>
      </c>
    </row>
    <row r="84" ht="14.25" customHeight="1">
      <c r="A84" s="1091">
        <v>122.0</v>
      </c>
      <c r="B84" s="635" t="s">
        <v>1482</v>
      </c>
      <c r="C84" s="1093" t="s">
        <v>46</v>
      </c>
      <c r="D84" s="1094">
        <v>0.018</v>
      </c>
      <c r="E84" s="636">
        <v>76.86</v>
      </c>
      <c r="F84" s="637" t="str">
        <f t="shared" si="12"/>
        <v>1.38</v>
      </c>
    </row>
    <row r="85" ht="14.25" customHeight="1">
      <c r="A85" s="1091">
        <v>20083.0</v>
      </c>
      <c r="B85" s="635" t="s">
        <v>1484</v>
      </c>
      <c r="C85" s="1093" t="s">
        <v>46</v>
      </c>
      <c r="D85" s="1094">
        <v>0.022</v>
      </c>
      <c r="E85" s="636">
        <v>87.08</v>
      </c>
      <c r="F85" s="637" t="str">
        <f t="shared" si="12"/>
        <v>1.91</v>
      </c>
    </row>
    <row r="86" ht="14.25" customHeight="1">
      <c r="A86" s="1091">
        <v>38383.0</v>
      </c>
      <c r="B86" s="635" t="s">
        <v>1485</v>
      </c>
      <c r="C86" s="1093" t="s">
        <v>46</v>
      </c>
      <c r="D86" s="1094">
        <v>0.024</v>
      </c>
      <c r="E86" s="605">
        <v>2.53</v>
      </c>
      <c r="F86" s="637" t="str">
        <f t="shared" si="12"/>
        <v>0.06</v>
      </c>
    </row>
    <row r="87" ht="14.25" customHeight="1">
      <c r="A87" s="803"/>
      <c r="B87" s="1100"/>
      <c r="C87" s="711"/>
      <c r="D87" s="1101"/>
      <c r="E87" s="1102" t="s">
        <v>927</v>
      </c>
      <c r="F87" s="1103" t="str">
        <f>SUM(F83:F86)</f>
        <v>9.60</v>
      </c>
    </row>
    <row r="88" ht="14.25" customHeight="1">
      <c r="A88" s="611"/>
      <c r="B88" s="656" t="s">
        <v>928</v>
      </c>
      <c r="C88" s="613"/>
      <c r="D88" s="613"/>
      <c r="E88" s="614"/>
      <c r="F88" s="615" t="str">
        <f>F81+F87</f>
        <v>12.82</v>
      </c>
    </row>
    <row r="89" ht="14.25" customHeight="1"/>
    <row r="90" ht="14.25" customHeight="1">
      <c r="A90" s="657" t="s">
        <v>614</v>
      </c>
      <c r="B90" s="1084" t="s">
        <v>615</v>
      </c>
      <c r="C90" s="1085" t="s">
        <v>46</v>
      </c>
      <c r="D90" s="590"/>
      <c r="E90" s="591"/>
      <c r="F90" s="626"/>
      <c r="H90" s="6"/>
    </row>
    <row r="91" ht="14.25" customHeight="1">
      <c r="A91" s="817" t="s">
        <v>1500</v>
      </c>
      <c r="B91" s="561"/>
      <c r="C91" s="561"/>
      <c r="D91" s="561"/>
      <c r="E91" s="561"/>
      <c r="F91" s="124"/>
    </row>
    <row r="92" ht="14.25" customHeight="1">
      <c r="A92" s="628"/>
      <c r="B92" s="1086" t="s">
        <v>918</v>
      </c>
      <c r="C92" s="1087" t="s">
        <v>919</v>
      </c>
      <c r="D92" s="1088" t="s">
        <v>920</v>
      </c>
      <c r="E92" s="1089" t="s">
        <v>921</v>
      </c>
      <c r="F92" s="1090" t="s">
        <v>922</v>
      </c>
    </row>
    <row r="93" ht="14.25" customHeight="1">
      <c r="A93" s="1091" t="s">
        <v>1486</v>
      </c>
      <c r="B93" s="1092" t="s">
        <v>1481</v>
      </c>
      <c r="C93" s="1093" t="s">
        <v>924</v>
      </c>
      <c r="D93" s="1113">
        <v>0.045</v>
      </c>
      <c r="E93" s="605">
        <v>20.16</v>
      </c>
      <c r="F93" s="637" t="str">
        <f t="shared" ref="F93:F94" si="13">TRUNC((D93*E93),2)</f>
        <v>0.90</v>
      </c>
    </row>
    <row r="94" ht="14.25" customHeight="1">
      <c r="A94" s="1091" t="s">
        <v>1487</v>
      </c>
      <c r="B94" s="1092" t="s">
        <v>1002</v>
      </c>
      <c r="C94" s="1093" t="s">
        <v>924</v>
      </c>
      <c r="D94" s="1113">
        <v>0.045</v>
      </c>
      <c r="E94" s="605">
        <v>24.64</v>
      </c>
      <c r="F94" s="637" t="str">
        <f t="shared" si="13"/>
        <v>1.10</v>
      </c>
    </row>
    <row r="95" ht="14.25" customHeight="1">
      <c r="A95" s="497"/>
      <c r="B95" s="688"/>
      <c r="C95" s="1093" t="s">
        <v>910</v>
      </c>
      <c r="D95" s="1095" t="s">
        <v>910</v>
      </c>
      <c r="E95" s="728" t="s">
        <v>927</v>
      </c>
      <c r="F95" s="1096" t="str">
        <f>SUM(F93:F94)</f>
        <v>2.00</v>
      </c>
    </row>
    <row r="96" ht="14.25" customHeight="1">
      <c r="A96" s="497"/>
      <c r="B96" s="1097" t="s">
        <v>936</v>
      </c>
      <c r="C96" s="944" t="s">
        <v>919</v>
      </c>
      <c r="D96" s="945" t="s">
        <v>920</v>
      </c>
      <c r="E96" s="1098" t="s">
        <v>921</v>
      </c>
      <c r="F96" s="1096" t="s">
        <v>922</v>
      </c>
    </row>
    <row r="97" ht="14.25" customHeight="1">
      <c r="A97" s="1091">
        <v>20085.0</v>
      </c>
      <c r="B97" s="600" t="s">
        <v>1501</v>
      </c>
      <c r="C97" s="1093" t="s">
        <v>46</v>
      </c>
      <c r="D97" s="1094">
        <v>1.0</v>
      </c>
      <c r="E97" s="636">
        <v>2.59</v>
      </c>
      <c r="F97" s="637" t="str">
        <f t="shared" ref="F97:F99" si="14">TRUNC((D97*E97),2)</f>
        <v>2.59</v>
      </c>
      <c r="H97" s="1106"/>
      <c r="I97" s="1105"/>
    </row>
    <row r="98" ht="14.25" customHeight="1">
      <c r="A98" s="1091">
        <v>20078.0</v>
      </c>
      <c r="B98" s="600" t="s">
        <v>1502</v>
      </c>
      <c r="C98" s="1093" t="s">
        <v>46</v>
      </c>
      <c r="D98" s="1113">
        <v>0.02</v>
      </c>
      <c r="E98" s="636">
        <v>31.72</v>
      </c>
      <c r="F98" s="637" t="str">
        <f t="shared" si="14"/>
        <v>0.63</v>
      </c>
      <c r="H98" s="1106"/>
      <c r="I98" s="1105"/>
    </row>
    <row r="99" ht="24.75" customHeight="1">
      <c r="A99" s="1091">
        <v>813.0</v>
      </c>
      <c r="B99" s="600" t="s">
        <v>1503</v>
      </c>
      <c r="C99" s="1093" t="s">
        <v>46</v>
      </c>
      <c r="D99" s="1094">
        <v>1.0</v>
      </c>
      <c r="E99" s="605">
        <v>6.34</v>
      </c>
      <c r="F99" s="637" t="str">
        <f t="shared" si="14"/>
        <v>6.34</v>
      </c>
      <c r="H99" s="1106"/>
      <c r="I99" s="1105"/>
    </row>
    <row r="100" ht="14.25" customHeight="1">
      <c r="A100" s="803"/>
      <c r="B100" s="1100"/>
      <c r="C100" s="711"/>
      <c r="D100" s="1101"/>
      <c r="E100" s="1102" t="s">
        <v>927</v>
      </c>
      <c r="F100" s="1103" t="str">
        <f>SUM(F97:F99)</f>
        <v>9.56</v>
      </c>
      <c r="H100" s="1106"/>
      <c r="I100" s="1105"/>
    </row>
    <row r="101" ht="14.25" customHeight="1">
      <c r="A101" s="616"/>
      <c r="B101" s="1114" t="s">
        <v>928</v>
      </c>
      <c r="C101" s="28"/>
      <c r="D101" s="28"/>
      <c r="E101" s="618"/>
      <c r="F101" s="869" t="str">
        <f>F95+F100</f>
        <v>11.56</v>
      </c>
      <c r="H101" s="1106"/>
      <c r="I101" s="1105"/>
    </row>
    <row r="102" ht="14.25" customHeight="1"/>
    <row r="103" ht="14.25" customHeight="1">
      <c r="A103" s="657" t="s">
        <v>1504</v>
      </c>
      <c r="B103" s="1084" t="s">
        <v>620</v>
      </c>
      <c r="C103" s="1085" t="s">
        <v>46</v>
      </c>
      <c r="D103" s="590"/>
      <c r="E103" s="591"/>
      <c r="F103" s="626"/>
      <c r="G103" s="6"/>
      <c r="H103" s="6"/>
    </row>
    <row r="104" ht="14.25" customHeight="1">
      <c r="A104" s="817" t="s">
        <v>1505</v>
      </c>
      <c r="B104" s="561"/>
      <c r="C104" s="561"/>
      <c r="D104" s="561"/>
      <c r="E104" s="561"/>
      <c r="F104" s="124"/>
    </row>
    <row r="105" ht="14.25" customHeight="1">
      <c r="A105" s="628"/>
      <c r="B105" s="1086" t="s">
        <v>918</v>
      </c>
      <c r="C105" s="1087" t="s">
        <v>919</v>
      </c>
      <c r="D105" s="1088" t="s">
        <v>920</v>
      </c>
      <c r="E105" s="1089" t="s">
        <v>921</v>
      </c>
      <c r="F105" s="1090" t="s">
        <v>922</v>
      </c>
    </row>
    <row r="106" ht="14.25" customHeight="1">
      <c r="A106" s="1091" t="s">
        <v>1486</v>
      </c>
      <c r="B106" s="1092" t="s">
        <v>1481</v>
      </c>
      <c r="C106" s="1093" t="s">
        <v>924</v>
      </c>
      <c r="D106" s="1094">
        <v>0.209</v>
      </c>
      <c r="E106" s="605">
        <v>20.16</v>
      </c>
      <c r="F106" s="637" t="str">
        <f t="shared" ref="F106:F107" si="15">TRUNC((D106*E106),2)</f>
        <v>4.21</v>
      </c>
    </row>
    <row r="107" ht="14.25" customHeight="1">
      <c r="A107" s="1091" t="s">
        <v>1487</v>
      </c>
      <c r="B107" s="1092" t="s">
        <v>1002</v>
      </c>
      <c r="C107" s="1093" t="s">
        <v>924</v>
      </c>
      <c r="D107" s="1094">
        <v>0.209</v>
      </c>
      <c r="E107" s="605">
        <v>24.64</v>
      </c>
      <c r="F107" s="637" t="str">
        <f t="shared" si="15"/>
        <v>5.14</v>
      </c>
    </row>
    <row r="108" ht="14.25" customHeight="1">
      <c r="A108" s="497"/>
      <c r="B108" s="688"/>
      <c r="C108" s="1093" t="s">
        <v>910</v>
      </c>
      <c r="D108" s="1095" t="s">
        <v>910</v>
      </c>
      <c r="E108" s="728" t="s">
        <v>927</v>
      </c>
      <c r="F108" s="1096" t="str">
        <f>SUM(F106:F107)</f>
        <v>9.35</v>
      </c>
    </row>
    <row r="109" ht="14.25" customHeight="1">
      <c r="A109" s="497"/>
      <c r="B109" s="1097" t="s">
        <v>936</v>
      </c>
      <c r="C109" s="944" t="s">
        <v>919</v>
      </c>
      <c r="D109" s="945" t="s">
        <v>920</v>
      </c>
      <c r="E109" s="1098" t="s">
        <v>921</v>
      </c>
      <c r="F109" s="1096" t="s">
        <v>922</v>
      </c>
    </row>
    <row r="110" ht="14.25" customHeight="1">
      <c r="A110" s="1091">
        <v>122.0</v>
      </c>
      <c r="B110" s="635" t="s">
        <v>1482</v>
      </c>
      <c r="C110" s="1093" t="s">
        <v>46</v>
      </c>
      <c r="D110" s="1094">
        <v>0.06</v>
      </c>
      <c r="E110" s="636">
        <v>76.86</v>
      </c>
      <c r="F110" s="637" t="str">
        <f t="shared" ref="F110:F113" si="16">TRUNC((D110*E110),2)</f>
        <v>4.61</v>
      </c>
    </row>
    <row r="111" ht="14.25" customHeight="1">
      <c r="A111" s="1091">
        <v>7129.0</v>
      </c>
      <c r="B111" s="635" t="s">
        <v>1506</v>
      </c>
      <c r="C111" s="1093" t="s">
        <v>46</v>
      </c>
      <c r="D111" s="1094">
        <v>1.0</v>
      </c>
      <c r="E111" s="636">
        <v>14.27</v>
      </c>
      <c r="F111" s="637" t="str">
        <f t="shared" si="16"/>
        <v>14.27</v>
      </c>
    </row>
    <row r="112" ht="14.25" customHeight="1">
      <c r="A112" s="1091">
        <v>20083.0</v>
      </c>
      <c r="B112" s="635" t="s">
        <v>1484</v>
      </c>
      <c r="C112" s="1093" t="s">
        <v>46</v>
      </c>
      <c r="D112" s="1094">
        <v>0.078</v>
      </c>
      <c r="E112" s="636">
        <v>87.08</v>
      </c>
      <c r="F112" s="637" t="str">
        <f t="shared" si="16"/>
        <v>6.79</v>
      </c>
    </row>
    <row r="113" ht="14.25" customHeight="1">
      <c r="A113" s="1091">
        <v>38383.0</v>
      </c>
      <c r="B113" s="635" t="s">
        <v>1485</v>
      </c>
      <c r="C113" s="1093" t="s">
        <v>46</v>
      </c>
      <c r="D113" s="1094">
        <v>0.053</v>
      </c>
      <c r="E113" s="605">
        <v>2.53</v>
      </c>
      <c r="F113" s="637" t="str">
        <f t="shared" si="16"/>
        <v>0.13</v>
      </c>
    </row>
    <row r="114" ht="14.25" customHeight="1">
      <c r="A114" s="803"/>
      <c r="B114" s="1100"/>
      <c r="C114" s="711"/>
      <c r="D114" s="1101"/>
      <c r="E114" s="1102" t="s">
        <v>927</v>
      </c>
      <c r="F114" s="1103" t="str">
        <f>SUM(F110:F113)</f>
        <v>25.80</v>
      </c>
    </row>
    <row r="115" ht="14.25" customHeight="1">
      <c r="A115" s="611"/>
      <c r="B115" s="656" t="s">
        <v>928</v>
      </c>
      <c r="C115" s="613"/>
      <c r="D115" s="613"/>
      <c r="E115" s="614"/>
      <c r="F115" s="615" t="str">
        <f>F108+F114</f>
        <v>35.15</v>
      </c>
    </row>
    <row r="116" ht="14.25" customHeight="1"/>
    <row r="117" ht="26.25" customHeight="1">
      <c r="A117" s="657" t="s">
        <v>622</v>
      </c>
      <c r="B117" s="1084" t="s">
        <v>1507</v>
      </c>
      <c r="C117" s="1085" t="s">
        <v>46</v>
      </c>
      <c r="D117" s="590"/>
      <c r="E117" s="591"/>
      <c r="F117" s="626"/>
      <c r="H117" s="6"/>
      <c r="I117" s="1109"/>
      <c r="J117" s="1109"/>
      <c r="K117" s="1109"/>
    </row>
    <row r="118" ht="15.0" customHeight="1">
      <c r="A118" s="817" t="s">
        <v>1508</v>
      </c>
      <c r="B118" s="561"/>
      <c r="C118" s="561"/>
      <c r="D118" s="561"/>
      <c r="E118" s="561"/>
      <c r="F118" s="124"/>
      <c r="I118" s="1109"/>
      <c r="J118" s="1109"/>
      <c r="K118" s="1109"/>
    </row>
    <row r="119" ht="14.25" customHeight="1">
      <c r="A119" s="628"/>
      <c r="B119" s="1086" t="s">
        <v>918</v>
      </c>
      <c r="C119" s="1087" t="s">
        <v>919</v>
      </c>
      <c r="D119" s="1088" t="s">
        <v>920</v>
      </c>
      <c r="E119" s="1089" t="s">
        <v>921</v>
      </c>
      <c r="F119" s="1090" t="s">
        <v>922</v>
      </c>
      <c r="I119" s="1109"/>
      <c r="J119" s="1109"/>
      <c r="K119" s="1109"/>
    </row>
    <row r="120" ht="14.25" customHeight="1">
      <c r="A120" s="1091" t="s">
        <v>1486</v>
      </c>
      <c r="B120" s="1092" t="s">
        <v>1481</v>
      </c>
      <c r="C120" s="1093" t="s">
        <v>924</v>
      </c>
      <c r="D120" s="1115">
        <v>0.209</v>
      </c>
      <c r="E120" s="605">
        <v>20.16</v>
      </c>
      <c r="F120" s="637" t="str">
        <f t="shared" ref="F120:F121" si="17">TRUNC((D120*E120),2)</f>
        <v>4.21</v>
      </c>
    </row>
    <row r="121" ht="14.25" customHeight="1">
      <c r="A121" s="1091" t="s">
        <v>1487</v>
      </c>
      <c r="B121" s="1092" t="s">
        <v>1002</v>
      </c>
      <c r="C121" s="1093" t="s">
        <v>924</v>
      </c>
      <c r="D121" s="1115">
        <v>0.209</v>
      </c>
      <c r="E121" s="605">
        <v>24.64</v>
      </c>
      <c r="F121" s="637" t="str">
        <f t="shared" si="17"/>
        <v>5.14</v>
      </c>
    </row>
    <row r="122" ht="14.25" customHeight="1">
      <c r="A122" s="497"/>
      <c r="B122" s="688"/>
      <c r="C122" s="1093" t="s">
        <v>910</v>
      </c>
      <c r="D122" s="1095" t="s">
        <v>910</v>
      </c>
      <c r="E122" s="728" t="s">
        <v>927</v>
      </c>
      <c r="F122" s="1096" t="str">
        <f>SUM(F120:F121)</f>
        <v>9.35</v>
      </c>
      <c r="H122" s="1105"/>
      <c r="I122" s="1106"/>
      <c r="J122" s="1106"/>
    </row>
    <row r="123" ht="14.25" customHeight="1">
      <c r="A123" s="497"/>
      <c r="B123" s="1097" t="s">
        <v>936</v>
      </c>
      <c r="C123" s="944" t="s">
        <v>919</v>
      </c>
      <c r="D123" s="945" t="s">
        <v>920</v>
      </c>
      <c r="E123" s="1098" t="s">
        <v>921</v>
      </c>
      <c r="F123" s="1096" t="s">
        <v>922</v>
      </c>
      <c r="H123" s="1105"/>
      <c r="I123" s="1106"/>
      <c r="J123" s="1106"/>
    </row>
    <row r="124" ht="14.25" customHeight="1">
      <c r="A124" s="1091">
        <v>7142.0</v>
      </c>
      <c r="B124" s="635" t="s">
        <v>1509</v>
      </c>
      <c r="C124" s="1093" t="s">
        <v>46</v>
      </c>
      <c r="D124" s="1094">
        <v>1.0</v>
      </c>
      <c r="E124" s="636">
        <v>13.52</v>
      </c>
      <c r="F124" s="637" t="str">
        <f t="shared" ref="F124:F127" si="18">TRUNC((D124*E124),2)</f>
        <v>13.52</v>
      </c>
      <c r="H124" s="1105"/>
      <c r="I124" s="1106"/>
      <c r="J124" s="1106"/>
    </row>
    <row r="125" ht="14.25" customHeight="1">
      <c r="A125" s="1091">
        <v>122.0</v>
      </c>
      <c r="B125" s="635" t="s">
        <v>1482</v>
      </c>
      <c r="C125" s="1093" t="s">
        <v>46</v>
      </c>
      <c r="D125" s="1113">
        <v>0.06</v>
      </c>
      <c r="E125" s="636">
        <v>76.86</v>
      </c>
      <c r="F125" s="637" t="str">
        <f t="shared" si="18"/>
        <v>4.61</v>
      </c>
      <c r="H125" s="1105"/>
      <c r="I125" s="1106"/>
      <c r="J125" s="1106"/>
    </row>
    <row r="126" ht="14.25" customHeight="1">
      <c r="A126" s="1091">
        <v>20083.0</v>
      </c>
      <c r="B126" s="635" t="s">
        <v>1484</v>
      </c>
      <c r="C126" s="1093" t="s">
        <v>46</v>
      </c>
      <c r="D126" s="1113">
        <v>0.078</v>
      </c>
      <c r="E126" s="636">
        <v>87.08</v>
      </c>
      <c r="F126" s="637" t="str">
        <f t="shared" si="18"/>
        <v>6.79</v>
      </c>
      <c r="H126" s="1105"/>
      <c r="I126" s="1106"/>
      <c r="J126" s="1106"/>
    </row>
    <row r="127" ht="14.25" customHeight="1">
      <c r="A127" s="1091">
        <v>38383.0</v>
      </c>
      <c r="B127" s="635" t="s">
        <v>1485</v>
      </c>
      <c r="C127" s="1093" t="s">
        <v>46</v>
      </c>
      <c r="D127" s="1113">
        <v>0.053</v>
      </c>
      <c r="E127" s="605">
        <v>2.53</v>
      </c>
      <c r="F127" s="637" t="str">
        <f t="shared" si="18"/>
        <v>0.13</v>
      </c>
      <c r="H127" s="1105"/>
      <c r="I127" s="1106"/>
      <c r="J127" s="1106"/>
    </row>
    <row r="128" ht="14.25" customHeight="1">
      <c r="A128" s="803"/>
      <c r="B128" s="1100"/>
      <c r="C128" s="711"/>
      <c r="D128" s="1101"/>
      <c r="E128" s="1102" t="s">
        <v>927</v>
      </c>
      <c r="F128" s="1103" t="str">
        <f>SUM(F124:F127)</f>
        <v>25.05</v>
      </c>
    </row>
    <row r="129" ht="14.25" customHeight="1">
      <c r="A129" s="611"/>
      <c r="B129" s="656" t="s">
        <v>928</v>
      </c>
      <c r="C129" s="613"/>
      <c r="D129" s="613"/>
      <c r="E129" s="614"/>
      <c r="F129" s="615" t="str">
        <f>F122+F128</f>
        <v>34.40</v>
      </c>
    </row>
    <row r="130" ht="14.25" customHeight="1"/>
    <row r="131" ht="41.25" customHeight="1">
      <c r="A131" s="657" t="s">
        <v>632</v>
      </c>
      <c r="B131" s="1084" t="s">
        <v>633</v>
      </c>
      <c r="C131" s="1085" t="s">
        <v>46</v>
      </c>
      <c r="D131" s="590"/>
      <c r="E131" s="591"/>
      <c r="F131" s="626"/>
      <c r="G131" s="6"/>
      <c r="H131" s="6"/>
    </row>
    <row r="132" ht="14.25" customHeight="1">
      <c r="A132" s="817" t="s">
        <v>1510</v>
      </c>
      <c r="B132" s="561"/>
      <c r="C132" s="561"/>
      <c r="D132" s="561"/>
      <c r="E132" s="561"/>
      <c r="F132" s="124"/>
    </row>
    <row r="133" ht="14.25" customHeight="1">
      <c r="A133" s="628"/>
      <c r="B133" s="1086" t="s">
        <v>918</v>
      </c>
      <c r="C133" s="1087" t="s">
        <v>919</v>
      </c>
      <c r="D133" s="1088" t="s">
        <v>920</v>
      </c>
      <c r="E133" s="1089" t="s">
        <v>921</v>
      </c>
      <c r="F133" s="1090" t="s">
        <v>922</v>
      </c>
    </row>
    <row r="134" ht="14.25" customHeight="1">
      <c r="A134" s="1091" t="s">
        <v>1486</v>
      </c>
      <c r="B134" s="1092" t="s">
        <v>1481</v>
      </c>
      <c r="C134" s="1093" t="s">
        <v>924</v>
      </c>
      <c r="D134" s="1094">
        <v>0.5</v>
      </c>
      <c r="E134" s="605">
        <v>20.16</v>
      </c>
      <c r="F134" s="637" t="str">
        <f t="shared" ref="F134:F137" si="19">TRUNC((D134*E134),2)</f>
        <v>10.08</v>
      </c>
    </row>
    <row r="135" ht="14.25" customHeight="1">
      <c r="A135" s="1091" t="s">
        <v>1487</v>
      </c>
      <c r="B135" s="1092" t="s">
        <v>1002</v>
      </c>
      <c r="C135" s="1093" t="s">
        <v>924</v>
      </c>
      <c r="D135" s="1094">
        <v>0.5</v>
      </c>
      <c r="E135" s="605">
        <v>24.64</v>
      </c>
      <c r="F135" s="637" t="str">
        <f t="shared" si="19"/>
        <v>12.32</v>
      </c>
    </row>
    <row r="136" ht="14.25" customHeight="1">
      <c r="A136" s="663">
        <v>88309.0</v>
      </c>
      <c r="B136" s="688" t="s">
        <v>964</v>
      </c>
      <c r="C136" s="1093" t="s">
        <v>924</v>
      </c>
      <c r="D136" s="1094">
        <v>1.0</v>
      </c>
      <c r="E136" s="636">
        <v>24.59</v>
      </c>
      <c r="F136" s="637" t="str">
        <f t="shared" si="19"/>
        <v>24.59</v>
      </c>
    </row>
    <row r="137" ht="14.25" customHeight="1">
      <c r="A137" s="667">
        <v>88316.0</v>
      </c>
      <c r="B137" s="832" t="s">
        <v>935</v>
      </c>
      <c r="C137" s="1093" t="s">
        <v>924</v>
      </c>
      <c r="D137" s="1094">
        <v>1.0</v>
      </c>
      <c r="E137" s="636">
        <v>19.45</v>
      </c>
      <c r="F137" s="637" t="str">
        <f t="shared" si="19"/>
        <v>19.45</v>
      </c>
    </row>
    <row r="138" ht="14.25" customHeight="1">
      <c r="A138" s="497"/>
      <c r="B138" s="688"/>
      <c r="C138" s="1093" t="s">
        <v>910</v>
      </c>
      <c r="D138" s="1095" t="s">
        <v>910</v>
      </c>
      <c r="E138" s="728" t="s">
        <v>927</v>
      </c>
      <c r="F138" s="1096" t="str">
        <f>SUM(F134:F137)</f>
        <v>66.44</v>
      </c>
    </row>
    <row r="139" ht="14.25" customHeight="1">
      <c r="A139" s="497"/>
      <c r="B139" s="1097" t="s">
        <v>936</v>
      </c>
      <c r="C139" s="944" t="s">
        <v>919</v>
      </c>
      <c r="D139" s="945" t="s">
        <v>920</v>
      </c>
      <c r="E139" s="1098" t="s">
        <v>921</v>
      </c>
      <c r="F139" s="1096" t="s">
        <v>922</v>
      </c>
    </row>
    <row r="140" ht="14.25" customHeight="1">
      <c r="A140" s="1091">
        <v>11694.0</v>
      </c>
      <c r="B140" s="600" t="s">
        <v>1511</v>
      </c>
      <c r="C140" s="1093" t="s">
        <v>46</v>
      </c>
      <c r="D140" s="1094">
        <v>1.0</v>
      </c>
      <c r="E140" s="636">
        <v>1214.68</v>
      </c>
      <c r="F140" s="637" t="str">
        <f>TRUNC((D140*E140),2)</f>
        <v>1,214.68</v>
      </c>
    </row>
    <row r="141" ht="14.25" customHeight="1">
      <c r="A141" s="803"/>
      <c r="B141" s="1100"/>
      <c r="C141" s="711"/>
      <c r="D141" s="1101"/>
      <c r="E141" s="1102" t="s">
        <v>927</v>
      </c>
      <c r="F141" s="1103" t="str">
        <f>SUM(F140)</f>
        <v>1,214.68</v>
      </c>
    </row>
    <row r="142" ht="14.25" customHeight="1">
      <c r="A142" s="611"/>
      <c r="B142" s="656" t="s">
        <v>928</v>
      </c>
      <c r="C142" s="613"/>
      <c r="D142" s="613"/>
      <c r="E142" s="614"/>
      <c r="F142" s="615" t="str">
        <f>F138+F141</f>
        <v>1,281.12</v>
      </c>
    </row>
    <row r="143" ht="14.25" customHeight="1"/>
    <row r="144" ht="28.5" customHeight="1">
      <c r="A144" s="657" t="s">
        <v>1512</v>
      </c>
      <c r="B144" s="1084" t="s">
        <v>636</v>
      </c>
      <c r="C144" s="1085" t="s">
        <v>46</v>
      </c>
      <c r="D144" s="590"/>
      <c r="E144" s="591"/>
      <c r="F144" s="626"/>
      <c r="G144" s="6"/>
      <c r="H144" s="6"/>
    </row>
    <row r="145" ht="14.25" customHeight="1">
      <c r="A145" s="817" t="s">
        <v>1513</v>
      </c>
      <c r="B145" s="561"/>
      <c r="C145" s="561"/>
      <c r="D145" s="561"/>
      <c r="E145" s="561"/>
      <c r="F145" s="124"/>
    </row>
    <row r="146" ht="14.25" customHeight="1">
      <c r="A146" s="628"/>
      <c r="B146" s="1086" t="s">
        <v>918</v>
      </c>
      <c r="C146" s="1087" t="s">
        <v>919</v>
      </c>
      <c r="D146" s="1088" t="s">
        <v>920</v>
      </c>
      <c r="E146" s="1089" t="s">
        <v>921</v>
      </c>
      <c r="F146" s="1090" t="s">
        <v>922</v>
      </c>
    </row>
    <row r="147" ht="14.25" customHeight="1">
      <c r="A147" s="1008" t="s">
        <v>1486</v>
      </c>
      <c r="B147" s="1092" t="s">
        <v>1481</v>
      </c>
      <c r="C147" s="1093" t="s">
        <v>924</v>
      </c>
      <c r="D147" s="1094">
        <v>0.4</v>
      </c>
      <c r="E147" s="605">
        <v>20.16</v>
      </c>
      <c r="F147" s="637" t="str">
        <f t="shared" ref="F147:F148" si="20">TRUNC((D147*E147),2)</f>
        <v>8.06</v>
      </c>
    </row>
    <row r="148" ht="14.25" customHeight="1">
      <c r="A148" s="1008" t="s">
        <v>1487</v>
      </c>
      <c r="B148" s="1092" t="s">
        <v>1002</v>
      </c>
      <c r="C148" s="1093" t="s">
        <v>924</v>
      </c>
      <c r="D148" s="1094">
        <v>0.4</v>
      </c>
      <c r="E148" s="605">
        <v>24.64</v>
      </c>
      <c r="F148" s="637" t="str">
        <f t="shared" si="20"/>
        <v>9.85</v>
      </c>
    </row>
    <row r="149" ht="14.25" customHeight="1">
      <c r="A149" s="497"/>
      <c r="B149" s="688"/>
      <c r="C149" s="1093" t="s">
        <v>910</v>
      </c>
      <c r="D149" s="1095" t="s">
        <v>910</v>
      </c>
      <c r="E149" s="728" t="s">
        <v>927</v>
      </c>
      <c r="F149" s="1096" t="str">
        <f>SUM(F147:F148)</f>
        <v>17.91</v>
      </c>
    </row>
    <row r="150" ht="14.25" customHeight="1">
      <c r="A150" s="497"/>
      <c r="B150" s="1097" t="s">
        <v>936</v>
      </c>
      <c r="C150" s="944" t="s">
        <v>919</v>
      </c>
      <c r="D150" s="945" t="s">
        <v>920</v>
      </c>
      <c r="E150" s="1098" t="s">
        <v>921</v>
      </c>
      <c r="F150" s="1096" t="s">
        <v>922</v>
      </c>
    </row>
    <row r="151" ht="30.75" customHeight="1">
      <c r="A151" s="1116">
        <v>6142.0</v>
      </c>
      <c r="B151" s="709" t="s">
        <v>1514</v>
      </c>
      <c r="C151" s="1117" t="s">
        <v>46</v>
      </c>
      <c r="D151" s="1118">
        <v>1.0</v>
      </c>
      <c r="E151" s="648">
        <v>10.39</v>
      </c>
      <c r="F151" s="649" t="str">
        <f>TRUNC((D151*E151),2)</f>
        <v>10.39</v>
      </c>
    </row>
    <row r="152" ht="14.25" customHeight="1">
      <c r="A152" s="650"/>
      <c r="B152" s="651"/>
      <c r="C152" s="1119"/>
      <c r="D152" s="1120"/>
      <c r="E152" s="1121" t="s">
        <v>927</v>
      </c>
      <c r="F152" s="655" t="str">
        <f>SUM(F151)</f>
        <v>10.39</v>
      </c>
    </row>
    <row r="153" ht="14.25" customHeight="1">
      <c r="A153" s="611"/>
      <c r="B153" s="656" t="s">
        <v>928</v>
      </c>
      <c r="C153" s="613"/>
      <c r="D153" s="613"/>
      <c r="E153" s="614"/>
      <c r="F153" s="615" t="str">
        <f>F149+F152</f>
        <v>28.30</v>
      </c>
    </row>
    <row r="154" ht="14.25" customHeight="1"/>
    <row r="155" ht="18.75" customHeight="1">
      <c r="A155" s="657" t="s">
        <v>1515</v>
      </c>
      <c r="B155" s="746" t="s">
        <v>644</v>
      </c>
      <c r="C155" s="1085" t="s">
        <v>46</v>
      </c>
      <c r="D155" s="590"/>
      <c r="E155" s="591"/>
      <c r="F155" s="626"/>
      <c r="G155" s="6"/>
      <c r="H155" s="6"/>
    </row>
    <row r="156" ht="14.25" customHeight="1">
      <c r="A156" s="817" t="s">
        <v>1516</v>
      </c>
      <c r="B156" s="561"/>
      <c r="C156" s="561"/>
      <c r="D156" s="561"/>
      <c r="E156" s="561"/>
      <c r="F156" s="124"/>
    </row>
    <row r="157" ht="14.25" customHeight="1">
      <c r="A157" s="628"/>
      <c r="B157" s="1086" t="s">
        <v>918</v>
      </c>
      <c r="C157" s="1087" t="s">
        <v>919</v>
      </c>
      <c r="D157" s="1088" t="s">
        <v>920</v>
      </c>
      <c r="E157" s="1089" t="s">
        <v>921</v>
      </c>
      <c r="F157" s="1090" t="s">
        <v>922</v>
      </c>
    </row>
    <row r="158" ht="14.25" customHeight="1">
      <c r="A158" s="1008" t="s">
        <v>1486</v>
      </c>
      <c r="B158" s="1092" t="s">
        <v>1481</v>
      </c>
      <c r="C158" s="1093" t="s">
        <v>924</v>
      </c>
      <c r="D158" s="1094">
        <v>0.5</v>
      </c>
      <c r="E158" s="605">
        <v>20.16</v>
      </c>
      <c r="F158" s="637" t="str">
        <f t="shared" ref="F158:F159" si="21">TRUNC((D158*E158),2)</f>
        <v>10.08</v>
      </c>
    </row>
    <row r="159" ht="14.25" customHeight="1">
      <c r="A159" s="1008" t="s">
        <v>1487</v>
      </c>
      <c r="B159" s="1092" t="s">
        <v>1002</v>
      </c>
      <c r="C159" s="1093" t="s">
        <v>924</v>
      </c>
      <c r="D159" s="1094">
        <v>0.5</v>
      </c>
      <c r="E159" s="605">
        <v>24.64</v>
      </c>
      <c r="F159" s="637" t="str">
        <f t="shared" si="21"/>
        <v>12.32</v>
      </c>
    </row>
    <row r="160" ht="14.25" customHeight="1">
      <c r="A160" s="497"/>
      <c r="B160" s="688"/>
      <c r="C160" s="1093" t="s">
        <v>910</v>
      </c>
      <c r="D160" s="1095" t="s">
        <v>910</v>
      </c>
      <c r="E160" s="728" t="s">
        <v>927</v>
      </c>
      <c r="F160" s="1096" t="str">
        <f>SUM(F158:F159)</f>
        <v>22.40</v>
      </c>
    </row>
    <row r="161" ht="14.25" customHeight="1">
      <c r="A161" s="497"/>
      <c r="B161" s="1097" t="s">
        <v>936</v>
      </c>
      <c r="C161" s="944" t="s">
        <v>919</v>
      </c>
      <c r="D161" s="945" t="s">
        <v>920</v>
      </c>
      <c r="E161" s="1098" t="s">
        <v>921</v>
      </c>
      <c r="F161" s="1096" t="s">
        <v>922</v>
      </c>
    </row>
    <row r="162" ht="14.25" customHeight="1">
      <c r="A162" s="1008">
        <v>1370.0</v>
      </c>
      <c r="B162" s="600" t="s">
        <v>644</v>
      </c>
      <c r="C162" s="1093" t="s">
        <v>46</v>
      </c>
      <c r="D162" s="1094">
        <v>1.0</v>
      </c>
      <c r="E162" s="636">
        <v>118.7</v>
      </c>
      <c r="F162" s="637" t="str">
        <f t="shared" ref="F162:F163" si="22">TRUNC((D162*E162),2)</f>
        <v>118.70</v>
      </c>
    </row>
    <row r="163" ht="14.25" customHeight="1">
      <c r="A163" s="1008">
        <v>37459.0</v>
      </c>
      <c r="B163" s="1122" t="s">
        <v>1517</v>
      </c>
      <c r="C163" s="1093" t="s">
        <v>69</v>
      </c>
      <c r="D163" s="1123">
        <v>0.28</v>
      </c>
      <c r="E163" s="636">
        <v>9.32</v>
      </c>
      <c r="F163" s="637" t="str">
        <f t="shared" si="22"/>
        <v>2.60</v>
      </c>
    </row>
    <row r="164" ht="14.25" customHeight="1">
      <c r="A164" s="803"/>
      <c r="B164" s="1100"/>
      <c r="C164" s="711"/>
      <c r="D164" s="1101"/>
      <c r="E164" s="1102"/>
      <c r="F164" s="1103" t="str">
        <f>SUM(F162:F163)</f>
        <v>121.30</v>
      </c>
    </row>
    <row r="165" ht="14.25" customHeight="1">
      <c r="A165" s="611"/>
      <c r="B165" s="656" t="s">
        <v>928</v>
      </c>
      <c r="C165" s="613"/>
      <c r="D165" s="613"/>
      <c r="E165" s="614"/>
      <c r="F165" s="615" t="str">
        <f>F160+F164</f>
        <v>143.70</v>
      </c>
    </row>
    <row r="166" ht="14.25" customHeight="1"/>
    <row r="167" ht="14.25" customHeight="1">
      <c r="A167" s="657" t="s">
        <v>685</v>
      </c>
      <c r="B167" s="1084" t="s">
        <v>686</v>
      </c>
      <c r="C167" s="1085" t="s">
        <v>46</v>
      </c>
      <c r="D167" s="590"/>
      <c r="E167" s="591"/>
      <c r="F167" s="626"/>
      <c r="G167" s="6"/>
      <c r="H167" s="6" t="s">
        <v>1518</v>
      </c>
    </row>
    <row r="168" ht="15.0" customHeight="1">
      <c r="A168" s="817" t="s">
        <v>1519</v>
      </c>
      <c r="B168" s="561"/>
      <c r="C168" s="561"/>
      <c r="D168" s="561"/>
      <c r="E168" s="561"/>
      <c r="F168" s="124"/>
    </row>
    <row r="169" ht="14.25" customHeight="1">
      <c r="A169" s="628"/>
      <c r="B169" s="1086" t="s">
        <v>918</v>
      </c>
      <c r="C169" s="1087" t="s">
        <v>919</v>
      </c>
      <c r="D169" s="1088" t="s">
        <v>920</v>
      </c>
      <c r="E169" s="1089" t="s">
        <v>921</v>
      </c>
      <c r="F169" s="1090" t="s">
        <v>922</v>
      </c>
    </row>
    <row r="170" ht="14.25" customHeight="1">
      <c r="A170" s="1008" t="s">
        <v>1486</v>
      </c>
      <c r="B170" s="1092" t="s">
        <v>1481</v>
      </c>
      <c r="C170" s="1093" t="s">
        <v>924</v>
      </c>
      <c r="D170" s="1094">
        <v>0.25</v>
      </c>
      <c r="E170" s="605">
        <v>20.16</v>
      </c>
      <c r="F170" s="637" t="str">
        <f t="shared" ref="F170:F171" si="23">TRUNC((D170*E170),2)</f>
        <v>5.04</v>
      </c>
    </row>
    <row r="171" ht="14.25" customHeight="1">
      <c r="A171" s="1008" t="s">
        <v>1487</v>
      </c>
      <c r="B171" s="1092" t="s">
        <v>1002</v>
      </c>
      <c r="C171" s="1093" t="s">
        <v>924</v>
      </c>
      <c r="D171" s="1094">
        <v>0.25</v>
      </c>
      <c r="E171" s="605">
        <v>24.64</v>
      </c>
      <c r="F171" s="637" t="str">
        <f t="shared" si="23"/>
        <v>6.16</v>
      </c>
    </row>
    <row r="172" ht="14.25" customHeight="1">
      <c r="A172" s="497"/>
      <c r="B172" s="688"/>
      <c r="C172" s="1093" t="s">
        <v>910</v>
      </c>
      <c r="D172" s="1095" t="s">
        <v>910</v>
      </c>
      <c r="E172" s="728" t="s">
        <v>927</v>
      </c>
      <c r="F172" s="1096" t="str">
        <f>SUM(F170:F171)</f>
        <v>11.20</v>
      </c>
    </row>
    <row r="173" ht="14.25" customHeight="1">
      <c r="A173" s="497"/>
      <c r="B173" s="1097" t="s">
        <v>936</v>
      </c>
      <c r="C173" s="944" t="s">
        <v>919</v>
      </c>
      <c r="D173" s="945" t="s">
        <v>920</v>
      </c>
      <c r="E173" s="1098" t="s">
        <v>921</v>
      </c>
      <c r="F173" s="1096" t="s">
        <v>922</v>
      </c>
    </row>
    <row r="174" ht="14.25" customHeight="1">
      <c r="A174" s="1008">
        <v>122.0</v>
      </c>
      <c r="B174" s="635" t="s">
        <v>1482</v>
      </c>
      <c r="C174" s="1093" t="s">
        <v>46</v>
      </c>
      <c r="D174" s="1123">
        <v>0.0148</v>
      </c>
      <c r="E174" s="636">
        <v>76.86</v>
      </c>
      <c r="F174" s="637" t="str">
        <f t="shared" ref="F174:F179" si="24">TRUNC((D174*E174),2)</f>
        <v>1.13</v>
      </c>
    </row>
    <row r="175" ht="14.25" customHeight="1">
      <c r="A175" s="1008">
        <v>296.0</v>
      </c>
      <c r="B175" s="635" t="s">
        <v>1520</v>
      </c>
      <c r="C175" s="1093" t="s">
        <v>46</v>
      </c>
      <c r="D175" s="1094">
        <v>1.0</v>
      </c>
      <c r="E175" s="636">
        <v>1.98</v>
      </c>
      <c r="F175" s="637" t="str">
        <f t="shared" si="24"/>
        <v>1.98</v>
      </c>
    </row>
    <row r="176" ht="14.25" customHeight="1">
      <c r="A176" s="1008">
        <v>11712.0</v>
      </c>
      <c r="B176" s="635" t="s">
        <v>1521</v>
      </c>
      <c r="C176" s="1093" t="s">
        <v>46</v>
      </c>
      <c r="D176" s="1094">
        <v>1.0</v>
      </c>
      <c r="E176" s="636">
        <v>49.95</v>
      </c>
      <c r="F176" s="637" t="str">
        <f t="shared" si="24"/>
        <v>49.95</v>
      </c>
    </row>
    <row r="177" ht="14.25" customHeight="1">
      <c r="A177" s="1008">
        <v>20078.0</v>
      </c>
      <c r="B177" s="635" t="s">
        <v>1522</v>
      </c>
      <c r="C177" s="1093" t="s">
        <v>46</v>
      </c>
      <c r="D177" s="1094">
        <v>0.02</v>
      </c>
      <c r="E177" s="636">
        <v>31.72</v>
      </c>
      <c r="F177" s="637" t="str">
        <f t="shared" si="24"/>
        <v>0.63</v>
      </c>
      <c r="H177" s="368"/>
    </row>
    <row r="178" ht="14.25" customHeight="1">
      <c r="A178" s="1008">
        <v>20083.0</v>
      </c>
      <c r="B178" s="635" t="s">
        <v>1484</v>
      </c>
      <c r="C178" s="1093" t="s">
        <v>46</v>
      </c>
      <c r="D178" s="1123">
        <v>0.0225</v>
      </c>
      <c r="E178" s="636">
        <v>87.08</v>
      </c>
      <c r="F178" s="637" t="str">
        <f t="shared" si="24"/>
        <v>1.95</v>
      </c>
      <c r="H178" s="368"/>
    </row>
    <row r="179" ht="14.25" customHeight="1">
      <c r="A179" s="1008">
        <v>38383.0</v>
      </c>
      <c r="B179" s="635" t="s">
        <v>1485</v>
      </c>
      <c r="C179" s="1093" t="s">
        <v>46</v>
      </c>
      <c r="D179" s="1094">
        <v>0.064</v>
      </c>
      <c r="E179" s="605">
        <v>2.53</v>
      </c>
      <c r="F179" s="637" t="str">
        <f t="shared" si="24"/>
        <v>0.16</v>
      </c>
      <c r="H179" s="295"/>
    </row>
    <row r="180" ht="14.25" customHeight="1">
      <c r="A180" s="803"/>
      <c r="B180" s="1100"/>
      <c r="C180" s="711"/>
      <c r="D180" s="1101"/>
      <c r="E180" s="1102" t="s">
        <v>927</v>
      </c>
      <c r="F180" s="947" t="str">
        <f>SUM(F174:F179)</f>
        <v>55.80</v>
      </c>
      <c r="H180" s="1104"/>
      <c r="I180" s="368"/>
    </row>
    <row r="181" ht="14.25" customHeight="1">
      <c r="A181" s="611"/>
      <c r="B181" s="656" t="s">
        <v>928</v>
      </c>
      <c r="C181" s="613"/>
      <c r="D181" s="613"/>
      <c r="E181" s="614"/>
      <c r="F181" s="615" t="str">
        <f>F172+F180</f>
        <v>67.00</v>
      </c>
      <c r="H181" s="1104"/>
      <c r="I181" s="368"/>
    </row>
    <row r="182" ht="14.25" customHeight="1">
      <c r="H182" s="1104"/>
      <c r="I182" s="183"/>
    </row>
    <row r="183" ht="14.25" customHeight="1">
      <c r="A183" s="657" t="s">
        <v>700</v>
      </c>
      <c r="B183" s="1084" t="s">
        <v>701</v>
      </c>
      <c r="C183" s="1085" t="s">
        <v>46</v>
      </c>
      <c r="D183" s="590"/>
      <c r="E183" s="591"/>
      <c r="F183" s="626"/>
    </row>
    <row r="184" ht="15.0" customHeight="1">
      <c r="A184" s="817" t="s">
        <v>1523</v>
      </c>
      <c r="B184" s="561"/>
      <c r="C184" s="561"/>
      <c r="D184" s="561"/>
      <c r="E184" s="561"/>
      <c r="F184" s="124"/>
    </row>
    <row r="185" ht="14.25" customHeight="1">
      <c r="A185" s="628"/>
      <c r="B185" s="1086" t="s">
        <v>918</v>
      </c>
      <c r="C185" s="1087" t="s">
        <v>919</v>
      </c>
      <c r="D185" s="1088" t="s">
        <v>920</v>
      </c>
      <c r="E185" s="1089" t="s">
        <v>921</v>
      </c>
      <c r="F185" s="1090" t="s">
        <v>922</v>
      </c>
    </row>
    <row r="186" ht="14.25" customHeight="1">
      <c r="A186" s="1091" t="s">
        <v>1486</v>
      </c>
      <c r="B186" s="1092" t="s">
        <v>1481</v>
      </c>
      <c r="C186" s="1093" t="s">
        <v>924</v>
      </c>
      <c r="D186" s="1094">
        <v>0.2</v>
      </c>
      <c r="E186" s="605">
        <v>20.16</v>
      </c>
      <c r="F186" s="637" t="str">
        <f t="shared" ref="F186:F187" si="25">TRUNC((D186*E186),2)</f>
        <v>4.03</v>
      </c>
    </row>
    <row r="187" ht="14.25" customHeight="1">
      <c r="A187" s="1091" t="s">
        <v>1487</v>
      </c>
      <c r="B187" s="1092" t="s">
        <v>1002</v>
      </c>
      <c r="C187" s="1093" t="s">
        <v>924</v>
      </c>
      <c r="D187" s="1094">
        <v>0.2</v>
      </c>
      <c r="E187" s="605">
        <v>24.64</v>
      </c>
      <c r="F187" s="637" t="str">
        <f t="shared" si="25"/>
        <v>4.92</v>
      </c>
    </row>
    <row r="188" ht="14.25" customHeight="1">
      <c r="A188" s="497"/>
      <c r="B188" s="688"/>
      <c r="C188" s="1093" t="s">
        <v>910</v>
      </c>
      <c r="D188" s="1095" t="s">
        <v>910</v>
      </c>
      <c r="E188" s="728" t="s">
        <v>927</v>
      </c>
      <c r="F188" s="1096" t="str">
        <f>SUM(F186:F187)</f>
        <v>8.95</v>
      </c>
    </row>
    <row r="189" ht="14.25" customHeight="1">
      <c r="A189" s="497"/>
      <c r="B189" s="1097" t="s">
        <v>936</v>
      </c>
      <c r="C189" s="944" t="s">
        <v>919</v>
      </c>
      <c r="D189" s="945" t="s">
        <v>920</v>
      </c>
      <c r="E189" s="1098" t="s">
        <v>921</v>
      </c>
      <c r="F189" s="1096" t="s">
        <v>922</v>
      </c>
    </row>
    <row r="190" ht="14.25" customHeight="1">
      <c r="A190" s="1124">
        <v>3148.0</v>
      </c>
      <c r="B190" s="600" t="s">
        <v>1494</v>
      </c>
      <c r="C190" s="1093" t="s">
        <v>46</v>
      </c>
      <c r="D190" s="1113">
        <v>0.31</v>
      </c>
      <c r="E190" s="636">
        <v>17.99</v>
      </c>
      <c r="F190" s="637" t="str">
        <f t="shared" ref="F190:F191" si="26">TRUNC((D190*E190),2)</f>
        <v>5.57</v>
      </c>
    </row>
    <row r="191" ht="14.25" customHeight="1">
      <c r="A191" s="1091">
        <v>10836.0</v>
      </c>
      <c r="B191" s="600" t="s">
        <v>1524</v>
      </c>
      <c r="C191" s="1093" t="s">
        <v>46</v>
      </c>
      <c r="D191" s="1094">
        <v>1.0</v>
      </c>
      <c r="E191" s="636">
        <v>27.26</v>
      </c>
      <c r="F191" s="637" t="str">
        <f t="shared" si="26"/>
        <v>27.26</v>
      </c>
    </row>
    <row r="192" ht="14.25" customHeight="1">
      <c r="A192" s="803"/>
      <c r="B192" s="1100"/>
      <c r="C192" s="711"/>
      <c r="D192" s="1101"/>
      <c r="E192" s="1102" t="s">
        <v>927</v>
      </c>
      <c r="F192" s="1103" t="str">
        <f>SUM(F190:F191)</f>
        <v>32.83</v>
      </c>
    </row>
    <row r="193" ht="14.25" customHeight="1">
      <c r="A193" s="611"/>
      <c r="B193" s="656" t="s">
        <v>928</v>
      </c>
      <c r="C193" s="613"/>
      <c r="D193" s="613"/>
      <c r="E193" s="614"/>
      <c r="F193" s="615" t="str">
        <f>F188+F192</f>
        <v>41.78</v>
      </c>
    </row>
    <row r="194" ht="14.25" customHeight="1"/>
    <row r="195" ht="14.25" customHeight="1">
      <c r="A195" s="657" t="s">
        <v>703</v>
      </c>
      <c r="B195" s="1084" t="s">
        <v>701</v>
      </c>
      <c r="C195" s="1085" t="s">
        <v>46</v>
      </c>
      <c r="D195" s="590"/>
      <c r="E195" s="591"/>
      <c r="F195" s="626"/>
    </row>
    <row r="196" ht="15.0" customHeight="1">
      <c r="A196" s="817" t="s">
        <v>1523</v>
      </c>
      <c r="B196" s="561"/>
      <c r="C196" s="561"/>
      <c r="D196" s="561"/>
      <c r="E196" s="561"/>
      <c r="F196" s="124"/>
    </row>
    <row r="197" ht="14.25" customHeight="1">
      <c r="A197" s="628"/>
      <c r="B197" s="1086" t="s">
        <v>918</v>
      </c>
      <c r="C197" s="1087" t="s">
        <v>919</v>
      </c>
      <c r="D197" s="1088" t="s">
        <v>920</v>
      </c>
      <c r="E197" s="1089" t="s">
        <v>921</v>
      </c>
      <c r="F197" s="1090" t="s">
        <v>922</v>
      </c>
    </row>
    <row r="198" ht="14.25" customHeight="1">
      <c r="A198" s="1008" t="s">
        <v>1486</v>
      </c>
      <c r="B198" s="1092" t="s">
        <v>1481</v>
      </c>
      <c r="C198" s="1093" t="s">
        <v>924</v>
      </c>
      <c r="D198" s="1094">
        <v>0.185</v>
      </c>
      <c r="E198" s="605">
        <v>20.16</v>
      </c>
      <c r="F198" s="637" t="str">
        <f t="shared" ref="F198:F199" si="27">TRUNC((D198*E198),2)</f>
        <v>3.72</v>
      </c>
    </row>
    <row r="199" ht="14.25" customHeight="1">
      <c r="A199" s="1008" t="s">
        <v>1487</v>
      </c>
      <c r="B199" s="1092" t="s">
        <v>1002</v>
      </c>
      <c r="C199" s="1093" t="s">
        <v>924</v>
      </c>
      <c r="D199" s="1094">
        <v>0.185</v>
      </c>
      <c r="E199" s="605">
        <v>24.64</v>
      </c>
      <c r="F199" s="637" t="str">
        <f t="shared" si="27"/>
        <v>4.55</v>
      </c>
    </row>
    <row r="200" ht="14.25" customHeight="1">
      <c r="A200" s="497"/>
      <c r="B200" s="688"/>
      <c r="C200" s="1093" t="s">
        <v>910</v>
      </c>
      <c r="D200" s="1095" t="s">
        <v>910</v>
      </c>
      <c r="E200" s="728" t="s">
        <v>927</v>
      </c>
      <c r="F200" s="1096" t="str">
        <f>SUM(F198:F199)</f>
        <v>8.27</v>
      </c>
    </row>
    <row r="201" ht="14.25" customHeight="1">
      <c r="A201" s="497"/>
      <c r="B201" s="1097" t="s">
        <v>936</v>
      </c>
      <c r="C201" s="944" t="s">
        <v>919</v>
      </c>
      <c r="D201" s="945" t="s">
        <v>920</v>
      </c>
      <c r="E201" s="1098" t="s">
        <v>921</v>
      </c>
      <c r="F201" s="1096" t="s">
        <v>922</v>
      </c>
    </row>
    <row r="202" ht="14.25" customHeight="1">
      <c r="A202" s="1125">
        <v>20085.0</v>
      </c>
      <c r="B202" s="600" t="s">
        <v>1501</v>
      </c>
      <c r="C202" s="1093" t="s">
        <v>46</v>
      </c>
      <c r="D202" s="1113">
        <v>1.0</v>
      </c>
      <c r="E202" s="636">
        <v>2.59</v>
      </c>
      <c r="F202" s="637" t="str">
        <f t="shared" ref="F202:F205" si="28">TRUNC((D202*E202),2)</f>
        <v>2.59</v>
      </c>
    </row>
    <row r="203" ht="14.25" customHeight="1">
      <c r="A203" s="1126">
        <v>301.0</v>
      </c>
      <c r="B203" s="1127" t="s">
        <v>1525</v>
      </c>
      <c r="C203" s="1117" t="s">
        <v>46</v>
      </c>
      <c r="D203" s="1128">
        <v>1.0</v>
      </c>
      <c r="E203" s="648">
        <v>3.5</v>
      </c>
      <c r="F203" s="649" t="str">
        <f t="shared" si="28"/>
        <v>3.50</v>
      </c>
    </row>
    <row r="204" ht="14.25" customHeight="1">
      <c r="A204" s="1129">
        <v>20078.0</v>
      </c>
      <c r="B204" s="716" t="s">
        <v>1502</v>
      </c>
      <c r="C204" s="1130" t="s">
        <v>46</v>
      </c>
      <c r="D204" s="1131">
        <v>0.092</v>
      </c>
      <c r="E204" s="682">
        <v>31.72</v>
      </c>
      <c r="F204" s="1132" t="str">
        <f t="shared" si="28"/>
        <v>2.91</v>
      </c>
    </row>
    <row r="205" ht="14.25" customHeight="1">
      <c r="A205" s="1125">
        <v>10908.0</v>
      </c>
      <c r="B205" s="600" t="s">
        <v>1526</v>
      </c>
      <c r="C205" s="1093" t="s">
        <v>46</v>
      </c>
      <c r="D205" s="1113">
        <v>1.0</v>
      </c>
      <c r="E205" s="636">
        <v>24.81</v>
      </c>
      <c r="F205" s="637" t="str">
        <f t="shared" si="28"/>
        <v>24.81</v>
      </c>
    </row>
    <row r="206" ht="14.25" customHeight="1">
      <c r="A206" s="803"/>
      <c r="B206" s="1100"/>
      <c r="C206" s="711"/>
      <c r="D206" s="1101"/>
      <c r="E206" s="1102" t="s">
        <v>927</v>
      </c>
      <c r="F206" s="1103" t="str">
        <f>SUM(F202:F205)</f>
        <v>33.81</v>
      </c>
    </row>
    <row r="207" ht="14.25" customHeight="1">
      <c r="A207" s="611"/>
      <c r="B207" s="656" t="s">
        <v>928</v>
      </c>
      <c r="C207" s="613"/>
      <c r="D207" s="613"/>
      <c r="E207" s="614"/>
      <c r="F207" s="615" t="str">
        <f>F200+F206</f>
        <v>42.08</v>
      </c>
    </row>
    <row r="208" ht="14.25" customHeight="1"/>
    <row r="209" ht="14.25" customHeight="1"/>
    <row r="210" ht="14.25" customHeight="1">
      <c r="A210" s="657" t="s">
        <v>720</v>
      </c>
      <c r="B210" s="1084" t="s">
        <v>1527</v>
      </c>
      <c r="C210" s="1085" t="s">
        <v>46</v>
      </c>
      <c r="D210" s="590"/>
      <c r="E210" s="591"/>
      <c r="F210" s="626"/>
      <c r="H210" s="6"/>
    </row>
    <row r="211" ht="14.25" customHeight="1">
      <c r="A211" s="817" t="s">
        <v>1528</v>
      </c>
      <c r="B211" s="561"/>
      <c r="C211" s="561"/>
      <c r="D211" s="561"/>
      <c r="E211" s="561"/>
      <c r="F211" s="124"/>
    </row>
    <row r="212" ht="14.25" customHeight="1">
      <c r="A212" s="628"/>
      <c r="B212" s="1086" t="s">
        <v>918</v>
      </c>
      <c r="C212" s="1087" t="s">
        <v>919</v>
      </c>
      <c r="D212" s="1088" t="s">
        <v>920</v>
      </c>
      <c r="E212" s="1089" t="s">
        <v>921</v>
      </c>
      <c r="F212" s="1090" t="s">
        <v>922</v>
      </c>
    </row>
    <row r="213" ht="14.25" customHeight="1">
      <c r="A213" s="1091" t="s">
        <v>1486</v>
      </c>
      <c r="B213" s="1092" t="s">
        <v>1481</v>
      </c>
      <c r="C213" s="1093" t="s">
        <v>924</v>
      </c>
      <c r="D213" s="1094">
        <v>0.55</v>
      </c>
      <c r="E213" s="605">
        <v>20.16</v>
      </c>
      <c r="F213" s="637" t="str">
        <f t="shared" ref="F213:F214" si="29">TRUNC((D213*E213),2)</f>
        <v>11.08</v>
      </c>
    </row>
    <row r="214" ht="14.25" customHeight="1">
      <c r="A214" s="1091" t="s">
        <v>1487</v>
      </c>
      <c r="B214" s="1092" t="s">
        <v>1002</v>
      </c>
      <c r="C214" s="1093" t="s">
        <v>924</v>
      </c>
      <c r="D214" s="1094">
        <v>0.55</v>
      </c>
      <c r="E214" s="605">
        <v>24.64</v>
      </c>
      <c r="F214" s="637" t="str">
        <f t="shared" si="29"/>
        <v>13.55</v>
      </c>
    </row>
    <row r="215" ht="14.25" customHeight="1">
      <c r="A215" s="497"/>
      <c r="B215" s="688"/>
      <c r="C215" s="1093" t="s">
        <v>910</v>
      </c>
      <c r="D215" s="1095" t="s">
        <v>910</v>
      </c>
      <c r="E215" s="728" t="s">
        <v>927</v>
      </c>
      <c r="F215" s="1096" t="str">
        <f>SUM(F213:F214)</f>
        <v>24.63</v>
      </c>
      <c r="H215" s="1133"/>
      <c r="I215" s="1134"/>
    </row>
    <row r="216" ht="14.25" customHeight="1">
      <c r="A216" s="497"/>
      <c r="B216" s="1097" t="s">
        <v>936</v>
      </c>
      <c r="C216" s="944" t="s">
        <v>919</v>
      </c>
      <c r="D216" s="945" t="s">
        <v>920</v>
      </c>
      <c r="E216" s="1098" t="s">
        <v>921</v>
      </c>
      <c r="F216" s="1096" t="s">
        <v>922</v>
      </c>
      <c r="H216" s="1105"/>
      <c r="I216" s="1106"/>
    </row>
    <row r="217" ht="14.25" customHeight="1">
      <c r="A217" s="1091">
        <v>122.0</v>
      </c>
      <c r="B217" s="600" t="s">
        <v>1482</v>
      </c>
      <c r="C217" s="1093" t="s">
        <v>107</v>
      </c>
      <c r="D217" s="1113">
        <v>0.077</v>
      </c>
      <c r="E217" s="636">
        <v>76.86</v>
      </c>
      <c r="F217" s="637" t="str">
        <f t="shared" ref="F217:F219" si="30">TRUNC((D217*E217),2)</f>
        <v>5.91</v>
      </c>
      <c r="H217" s="1105"/>
      <c r="I217" s="1106"/>
    </row>
    <row r="218" ht="14.25" customHeight="1">
      <c r="A218" s="1091">
        <v>20083.0</v>
      </c>
      <c r="B218" s="600" t="s">
        <v>1484</v>
      </c>
      <c r="C218" s="1093" t="s">
        <v>1150</v>
      </c>
      <c r="D218" s="1113">
        <v>0.118</v>
      </c>
      <c r="E218" s="636">
        <v>87.08</v>
      </c>
      <c r="F218" s="637" t="str">
        <f t="shared" si="30"/>
        <v>10.27</v>
      </c>
      <c r="H218" s="1105"/>
      <c r="I218" s="1106"/>
    </row>
    <row r="219" ht="14.25" customHeight="1">
      <c r="A219" s="1091">
        <v>11656.0</v>
      </c>
      <c r="B219" s="600" t="s">
        <v>1529</v>
      </c>
      <c r="C219" s="1093" t="s">
        <v>46</v>
      </c>
      <c r="D219" s="1094">
        <v>1.0</v>
      </c>
      <c r="E219" s="636">
        <v>22.71</v>
      </c>
      <c r="F219" s="637" t="str">
        <f t="shared" si="30"/>
        <v>22.71</v>
      </c>
      <c r="H219" s="1105"/>
      <c r="I219" s="1106"/>
    </row>
    <row r="220" ht="14.25" customHeight="1">
      <c r="A220" s="803"/>
      <c r="B220" s="1100"/>
      <c r="C220" s="711"/>
      <c r="D220" s="1101"/>
      <c r="E220" s="1102" t="s">
        <v>927</v>
      </c>
      <c r="F220" s="1103" t="str">
        <f>SUM(F217:F219)</f>
        <v>38.89</v>
      </c>
    </row>
    <row r="221" ht="14.25" customHeight="1">
      <c r="A221" s="611"/>
      <c r="B221" s="656" t="s">
        <v>928</v>
      </c>
      <c r="C221" s="613"/>
      <c r="D221" s="613"/>
      <c r="E221" s="614"/>
      <c r="F221" s="615" t="str">
        <f>F215+F220</f>
        <v>63.52</v>
      </c>
    </row>
    <row r="222" ht="14.25" customHeight="1"/>
    <row r="223" ht="14.25" customHeight="1">
      <c r="A223" s="657" t="s">
        <v>734</v>
      </c>
      <c r="B223" s="1084" t="s">
        <v>1530</v>
      </c>
      <c r="C223" s="1085" t="s">
        <v>46</v>
      </c>
      <c r="D223" s="590"/>
      <c r="E223" s="591"/>
      <c r="F223" s="626"/>
      <c r="G223" s="6"/>
      <c r="H223" s="6"/>
    </row>
    <row r="224" ht="14.25" customHeight="1">
      <c r="A224" s="817" t="s">
        <v>1531</v>
      </c>
      <c r="B224" s="561"/>
      <c r="C224" s="561"/>
      <c r="D224" s="561"/>
      <c r="E224" s="561"/>
      <c r="F224" s="124"/>
    </row>
    <row r="225" ht="14.25" customHeight="1">
      <c r="A225" s="628"/>
      <c r="B225" s="1086" t="s">
        <v>918</v>
      </c>
      <c r="C225" s="1087" t="s">
        <v>919</v>
      </c>
      <c r="D225" s="1088" t="s">
        <v>920</v>
      </c>
      <c r="E225" s="1089" t="s">
        <v>921</v>
      </c>
      <c r="F225" s="1090" t="s">
        <v>922</v>
      </c>
    </row>
    <row r="226" ht="14.25" customHeight="1">
      <c r="A226" s="1008" t="s">
        <v>1486</v>
      </c>
      <c r="B226" s="1092" t="s">
        <v>1481</v>
      </c>
      <c r="C226" s="1093" t="s">
        <v>924</v>
      </c>
      <c r="D226" s="1123">
        <v>0.25</v>
      </c>
      <c r="E226" s="605">
        <v>20.16</v>
      </c>
      <c r="F226" s="637" t="str">
        <f t="shared" ref="F226:F227" si="31">TRUNC((D226*E226),2)</f>
        <v>5.04</v>
      </c>
    </row>
    <row r="227" ht="14.25" customHeight="1">
      <c r="A227" s="1008" t="s">
        <v>1487</v>
      </c>
      <c r="B227" s="1092" t="s">
        <v>1002</v>
      </c>
      <c r="C227" s="1093" t="s">
        <v>924</v>
      </c>
      <c r="D227" s="1123">
        <v>0.25</v>
      </c>
      <c r="E227" s="605">
        <v>24.64</v>
      </c>
      <c r="F227" s="637" t="str">
        <f t="shared" si="31"/>
        <v>6.16</v>
      </c>
    </row>
    <row r="228" ht="14.25" customHeight="1">
      <c r="A228" s="497"/>
      <c r="B228" s="688"/>
      <c r="C228" s="1093" t="s">
        <v>910</v>
      </c>
      <c r="D228" s="1095" t="s">
        <v>910</v>
      </c>
      <c r="E228" s="728" t="s">
        <v>927</v>
      </c>
      <c r="F228" s="1096" t="str">
        <f>SUM(F226:F227)</f>
        <v>11.20</v>
      </c>
    </row>
    <row r="229" ht="14.25" customHeight="1">
      <c r="A229" s="497"/>
      <c r="B229" s="1097" t="s">
        <v>936</v>
      </c>
      <c r="C229" s="944" t="s">
        <v>919</v>
      </c>
      <c r="D229" s="945" t="s">
        <v>920</v>
      </c>
      <c r="E229" s="1098" t="s">
        <v>921</v>
      </c>
      <c r="F229" s="1096" t="s">
        <v>922</v>
      </c>
    </row>
    <row r="230" ht="14.25" customHeight="1">
      <c r="A230" s="1125">
        <v>3148.0</v>
      </c>
      <c r="B230" s="600" t="s">
        <v>1494</v>
      </c>
      <c r="C230" s="1093" t="s">
        <v>46</v>
      </c>
      <c r="D230" s="1094">
        <v>0.94</v>
      </c>
      <c r="E230" s="636">
        <v>17.99</v>
      </c>
      <c r="F230" s="637" t="str">
        <f t="shared" ref="F230:F231" si="32">TRUNC((D230*E230),2)</f>
        <v>16.91</v>
      </c>
    </row>
    <row r="231" ht="14.25" customHeight="1">
      <c r="A231" s="1008">
        <v>20262.0</v>
      </c>
      <c r="B231" s="600" t="s">
        <v>1532</v>
      </c>
      <c r="C231" s="1093" t="s">
        <v>46</v>
      </c>
      <c r="D231" s="1094">
        <v>1.0</v>
      </c>
      <c r="E231" s="636">
        <v>22.8</v>
      </c>
      <c r="F231" s="637" t="str">
        <f t="shared" si="32"/>
        <v>22.80</v>
      </c>
    </row>
    <row r="232" ht="14.25" customHeight="1">
      <c r="A232" s="803"/>
      <c r="B232" s="1100"/>
      <c r="C232" s="711"/>
      <c r="D232" s="1101"/>
      <c r="E232" s="1102" t="s">
        <v>927</v>
      </c>
      <c r="F232" s="1103" t="str">
        <f>SUM(F230:F231)</f>
        <v>39.71</v>
      </c>
    </row>
    <row r="233" ht="14.25" customHeight="1">
      <c r="A233" s="611"/>
      <c r="B233" s="656" t="s">
        <v>928</v>
      </c>
      <c r="C233" s="613"/>
      <c r="D233" s="613"/>
      <c r="E233" s="614"/>
      <c r="F233" s="615" t="str">
        <f>F228+F232</f>
        <v>50.91</v>
      </c>
    </row>
    <row r="234" ht="14.25" customHeight="1"/>
    <row r="235" ht="25.5" customHeight="1">
      <c r="A235" s="657" t="s">
        <v>739</v>
      </c>
      <c r="B235" s="1084" t="s">
        <v>740</v>
      </c>
      <c r="C235" s="1085" t="s">
        <v>46</v>
      </c>
      <c r="D235" s="590"/>
      <c r="E235" s="591"/>
      <c r="F235" s="626"/>
      <c r="G235" s="6"/>
      <c r="H235" s="6"/>
    </row>
    <row r="236" ht="14.25" customHeight="1">
      <c r="A236" s="817" t="s">
        <v>1533</v>
      </c>
      <c r="B236" s="561"/>
      <c r="C236" s="561"/>
      <c r="D236" s="561"/>
      <c r="E236" s="561"/>
      <c r="F236" s="124"/>
    </row>
    <row r="237" ht="14.25" customHeight="1">
      <c r="A237" s="628"/>
      <c r="B237" s="1086" t="s">
        <v>918</v>
      </c>
      <c r="C237" s="1087" t="s">
        <v>919</v>
      </c>
      <c r="D237" s="1088" t="s">
        <v>920</v>
      </c>
      <c r="E237" s="1089" t="s">
        <v>921</v>
      </c>
      <c r="F237" s="1090" t="s">
        <v>922</v>
      </c>
    </row>
    <row r="238" ht="14.25" customHeight="1">
      <c r="A238" s="1091" t="s">
        <v>1486</v>
      </c>
      <c r="B238" s="1092" t="s">
        <v>1481</v>
      </c>
      <c r="C238" s="1093" t="s">
        <v>924</v>
      </c>
      <c r="D238" s="1094">
        <v>0.14</v>
      </c>
      <c r="E238" s="605">
        <v>20.16</v>
      </c>
      <c r="F238" s="637" t="str">
        <f t="shared" ref="F238:F239" si="33">TRUNC((D238*E238),2)</f>
        <v>2.82</v>
      </c>
    </row>
    <row r="239" ht="14.25" customHeight="1">
      <c r="A239" s="1091" t="s">
        <v>1487</v>
      </c>
      <c r="B239" s="1092" t="s">
        <v>1002</v>
      </c>
      <c r="C239" s="1093" t="s">
        <v>924</v>
      </c>
      <c r="D239" s="1094">
        <v>0.14</v>
      </c>
      <c r="E239" s="605">
        <v>24.64</v>
      </c>
      <c r="F239" s="637" t="str">
        <f t="shared" si="33"/>
        <v>3.44</v>
      </c>
    </row>
    <row r="240" ht="14.25" customHeight="1">
      <c r="A240" s="497"/>
      <c r="B240" s="688"/>
      <c r="C240" s="1093" t="s">
        <v>910</v>
      </c>
      <c r="D240" s="1095" t="s">
        <v>910</v>
      </c>
      <c r="E240" s="728" t="s">
        <v>927</v>
      </c>
      <c r="F240" s="1096" t="str">
        <f>SUM(F238:F239)</f>
        <v>6.26</v>
      </c>
    </row>
    <row r="241" ht="14.25" customHeight="1">
      <c r="A241" s="497"/>
      <c r="B241" s="1097" t="s">
        <v>936</v>
      </c>
      <c r="C241" s="944" t="s">
        <v>919</v>
      </c>
      <c r="D241" s="945" t="s">
        <v>920</v>
      </c>
      <c r="E241" s="1098" t="s">
        <v>921</v>
      </c>
      <c r="F241" s="1096" t="s">
        <v>922</v>
      </c>
    </row>
    <row r="242" ht="14.25" customHeight="1">
      <c r="A242" s="1124">
        <v>6140.0</v>
      </c>
      <c r="B242" s="600" t="s">
        <v>740</v>
      </c>
      <c r="C242" s="1093" t="s">
        <v>46</v>
      </c>
      <c r="D242" s="1113">
        <v>1.0</v>
      </c>
      <c r="E242" s="636">
        <v>4.78</v>
      </c>
      <c r="F242" s="637" t="str">
        <f>TRUNC((D242*E242),2)</f>
        <v>4.78</v>
      </c>
    </row>
    <row r="243" ht="14.25" customHeight="1">
      <c r="A243" s="803"/>
      <c r="B243" s="1100"/>
      <c r="C243" s="711"/>
      <c r="D243" s="1101"/>
      <c r="E243" s="1102" t="s">
        <v>927</v>
      </c>
      <c r="F243" s="1103" t="str">
        <f>SUM(F242)</f>
        <v>4.78</v>
      </c>
    </row>
    <row r="244" ht="14.25" customHeight="1">
      <c r="A244" s="611"/>
      <c r="B244" s="656" t="s">
        <v>928</v>
      </c>
      <c r="C244" s="613"/>
      <c r="D244" s="613"/>
      <c r="E244" s="614"/>
      <c r="F244" s="615" t="str">
        <f>F240+F243</f>
        <v>11.04</v>
      </c>
    </row>
    <row r="245" ht="14.25" customHeight="1"/>
    <row r="246" ht="28.5" customHeight="1">
      <c r="A246" s="657" t="s">
        <v>723</v>
      </c>
      <c r="B246" s="1084" t="s">
        <v>724</v>
      </c>
      <c r="C246" s="1085" t="s">
        <v>46</v>
      </c>
      <c r="D246" s="590"/>
      <c r="E246" s="591"/>
      <c r="F246" s="626"/>
      <c r="G246" s="6"/>
      <c r="H246" s="6"/>
    </row>
    <row r="247" ht="15.0" customHeight="1">
      <c r="A247" s="817" t="s">
        <v>1534</v>
      </c>
      <c r="B247" s="561"/>
      <c r="C247" s="561"/>
      <c r="D247" s="561"/>
      <c r="E247" s="561"/>
      <c r="F247" s="124"/>
    </row>
    <row r="248" ht="14.25" customHeight="1">
      <c r="A248" s="628"/>
      <c r="B248" s="1086" t="s">
        <v>918</v>
      </c>
      <c r="C248" s="1087" t="s">
        <v>919</v>
      </c>
      <c r="D248" s="1088" t="s">
        <v>920</v>
      </c>
      <c r="E248" s="1089" t="s">
        <v>921</v>
      </c>
      <c r="F248" s="1090" t="s">
        <v>922</v>
      </c>
    </row>
    <row r="249" ht="14.25" customHeight="1">
      <c r="A249" s="1008" t="s">
        <v>1486</v>
      </c>
      <c r="B249" s="1092" t="s">
        <v>1481</v>
      </c>
      <c r="C249" s="1093" t="s">
        <v>924</v>
      </c>
      <c r="D249" s="1123">
        <v>0.07</v>
      </c>
      <c r="E249" s="605">
        <v>20.16</v>
      </c>
      <c r="F249" s="637" t="str">
        <f t="shared" ref="F249:F250" si="34">TRUNC((D249*E249),2)</f>
        <v>1.41</v>
      </c>
    </row>
    <row r="250" ht="14.25" customHeight="1">
      <c r="A250" s="1008" t="s">
        <v>1487</v>
      </c>
      <c r="B250" s="1092" t="s">
        <v>1002</v>
      </c>
      <c r="C250" s="1093" t="s">
        <v>924</v>
      </c>
      <c r="D250" s="1123">
        <v>0.07</v>
      </c>
      <c r="E250" s="605">
        <v>24.64</v>
      </c>
      <c r="F250" s="637" t="str">
        <f t="shared" si="34"/>
        <v>1.72</v>
      </c>
    </row>
    <row r="251" ht="14.25" customHeight="1">
      <c r="A251" s="497"/>
      <c r="B251" s="688"/>
      <c r="C251" s="1093" t="s">
        <v>910</v>
      </c>
      <c r="D251" s="1095" t="s">
        <v>910</v>
      </c>
      <c r="E251" s="728" t="s">
        <v>927</v>
      </c>
      <c r="F251" s="1096" t="str">
        <f>SUM(F249:F250)</f>
        <v>3.13</v>
      </c>
    </row>
    <row r="252" ht="14.25" customHeight="1">
      <c r="A252" s="497"/>
      <c r="B252" s="1097" t="s">
        <v>936</v>
      </c>
      <c r="C252" s="944" t="s">
        <v>919</v>
      </c>
      <c r="D252" s="945" t="s">
        <v>920</v>
      </c>
      <c r="E252" s="1098" t="s">
        <v>921</v>
      </c>
      <c r="F252" s="1096" t="s">
        <v>922</v>
      </c>
    </row>
    <row r="253" ht="14.25" customHeight="1">
      <c r="A253" s="1008">
        <v>122.0</v>
      </c>
      <c r="B253" s="600" t="s">
        <v>1482</v>
      </c>
      <c r="C253" s="1093" t="s">
        <v>107</v>
      </c>
      <c r="D253" s="1094">
        <v>0.008</v>
      </c>
      <c r="E253" s="636">
        <v>76.86</v>
      </c>
      <c r="F253" s="637" t="str">
        <f t="shared" ref="F253:F255" si="35">TRUNC((D253*E253),2)</f>
        <v>0.61</v>
      </c>
    </row>
    <row r="254" ht="14.25" customHeight="1">
      <c r="A254" s="1008">
        <v>20083.0</v>
      </c>
      <c r="B254" s="600" t="s">
        <v>1484</v>
      </c>
      <c r="C254" s="1093" t="s">
        <v>1150</v>
      </c>
      <c r="D254" s="1094">
        <v>0.011</v>
      </c>
      <c r="E254" s="636">
        <v>87.08</v>
      </c>
      <c r="F254" s="637" t="str">
        <f t="shared" si="35"/>
        <v>0.95</v>
      </c>
    </row>
    <row r="255" ht="14.25" customHeight="1">
      <c r="A255" s="1008">
        <v>39319.0</v>
      </c>
      <c r="B255" s="1135" t="s">
        <v>724</v>
      </c>
      <c r="C255" s="1093" t="s">
        <v>46</v>
      </c>
      <c r="D255" s="1094">
        <v>1.0</v>
      </c>
      <c r="E255" s="636">
        <v>9.77</v>
      </c>
      <c r="F255" s="637" t="str">
        <f t="shared" si="35"/>
        <v>9.77</v>
      </c>
    </row>
    <row r="256" ht="14.25" customHeight="1">
      <c r="A256" s="803"/>
      <c r="B256" s="1100"/>
      <c r="C256" s="711"/>
      <c r="D256" s="1101"/>
      <c r="E256" s="1102" t="s">
        <v>927</v>
      </c>
      <c r="F256" s="1103" t="str">
        <f>SUM(F253:F255)</f>
        <v>11.33</v>
      </c>
    </row>
    <row r="257" ht="14.25" customHeight="1">
      <c r="A257" s="616"/>
      <c r="B257" s="1114" t="s">
        <v>928</v>
      </c>
      <c r="C257" s="28"/>
      <c r="D257" s="28"/>
      <c r="E257" s="618"/>
      <c r="F257" s="869" t="str">
        <f>F251+F256</f>
        <v>14.46</v>
      </c>
    </row>
    <row r="258" ht="14.25" customHeight="1"/>
    <row r="259" ht="14.25" customHeight="1">
      <c r="A259" s="657" t="s">
        <v>726</v>
      </c>
      <c r="B259" s="866" t="s">
        <v>727</v>
      </c>
      <c r="C259" s="1085" t="s">
        <v>46</v>
      </c>
      <c r="D259" s="590"/>
      <c r="E259" s="591"/>
      <c r="F259" s="626"/>
      <c r="G259" s="1136"/>
      <c r="H259" s="6"/>
    </row>
    <row r="260" ht="14.25" customHeight="1">
      <c r="A260" s="817" t="s">
        <v>1534</v>
      </c>
      <c r="B260" s="561"/>
      <c r="C260" s="561"/>
      <c r="D260" s="561"/>
      <c r="E260" s="561"/>
      <c r="F260" s="124"/>
    </row>
    <row r="261" ht="14.25" customHeight="1">
      <c r="A261" s="628"/>
      <c r="B261" s="1086" t="s">
        <v>918</v>
      </c>
      <c r="C261" s="1087" t="s">
        <v>919</v>
      </c>
      <c r="D261" s="1088" t="s">
        <v>920</v>
      </c>
      <c r="E261" s="1089" t="s">
        <v>921</v>
      </c>
      <c r="F261" s="1090" t="s">
        <v>922</v>
      </c>
      <c r="H261" s="1137"/>
    </row>
    <row r="262" ht="14.25" customHeight="1">
      <c r="A262" s="1008" t="s">
        <v>1486</v>
      </c>
      <c r="B262" s="1092" t="s">
        <v>1481</v>
      </c>
      <c r="C262" s="1093" t="s">
        <v>924</v>
      </c>
      <c r="D262" s="1123">
        <v>0.07</v>
      </c>
      <c r="E262" s="605">
        <v>20.16</v>
      </c>
      <c r="F262" s="637" t="str">
        <f t="shared" ref="F262:F263" si="36">TRUNC((D262*E262),2)</f>
        <v>1.41</v>
      </c>
    </row>
    <row r="263" ht="14.25" customHeight="1">
      <c r="A263" s="1008" t="s">
        <v>1487</v>
      </c>
      <c r="B263" s="1092" t="s">
        <v>1002</v>
      </c>
      <c r="C263" s="1093" t="s">
        <v>924</v>
      </c>
      <c r="D263" s="1123">
        <v>0.07</v>
      </c>
      <c r="E263" s="605">
        <v>24.64</v>
      </c>
      <c r="F263" s="637" t="str">
        <f t="shared" si="36"/>
        <v>1.72</v>
      </c>
    </row>
    <row r="264" ht="14.25" customHeight="1">
      <c r="A264" s="497"/>
      <c r="B264" s="688"/>
      <c r="C264" s="1093" t="s">
        <v>910</v>
      </c>
      <c r="D264" s="1095" t="s">
        <v>910</v>
      </c>
      <c r="E264" s="728" t="s">
        <v>927</v>
      </c>
      <c r="F264" s="1096" t="str">
        <f>SUM(F262:F263)</f>
        <v>3.13</v>
      </c>
      <c r="H264" s="1104"/>
      <c r="I264" s="1138"/>
      <c r="J264" s="1134"/>
    </row>
    <row r="265" ht="14.25" customHeight="1">
      <c r="A265" s="497"/>
      <c r="B265" s="1097" t="s">
        <v>936</v>
      </c>
      <c r="C265" s="944" t="s">
        <v>919</v>
      </c>
      <c r="D265" s="945" t="s">
        <v>920</v>
      </c>
      <c r="E265" s="1098" t="s">
        <v>921</v>
      </c>
      <c r="F265" s="1096" t="s">
        <v>922</v>
      </c>
      <c r="H265" s="1104"/>
      <c r="I265" s="1106"/>
      <c r="J265" s="1134"/>
    </row>
    <row r="266" ht="14.25" customHeight="1">
      <c r="A266" s="1091">
        <v>122.0</v>
      </c>
      <c r="B266" s="600" t="s">
        <v>1482</v>
      </c>
      <c r="C266" s="1093" t="s">
        <v>107</v>
      </c>
      <c r="D266" s="1094">
        <v>0.008</v>
      </c>
      <c r="E266" s="636">
        <v>76.86</v>
      </c>
      <c r="F266" s="637" t="str">
        <f t="shared" ref="F266:F268" si="37">TRUNC((D266*E266),2)</f>
        <v>0.61</v>
      </c>
      <c r="H266" s="1104"/>
      <c r="I266" s="1138"/>
      <c r="J266" s="1134"/>
    </row>
    <row r="267" ht="14.25" customHeight="1">
      <c r="A267" s="1091">
        <v>20083.0</v>
      </c>
      <c r="B267" s="600" t="s">
        <v>1484</v>
      </c>
      <c r="C267" s="1093" t="s">
        <v>1150</v>
      </c>
      <c r="D267" s="1094">
        <v>0.011</v>
      </c>
      <c r="E267" s="636">
        <v>87.08</v>
      </c>
      <c r="F267" s="637" t="str">
        <f t="shared" si="37"/>
        <v>0.95</v>
      </c>
      <c r="H267" s="1104"/>
      <c r="I267" s="1138"/>
      <c r="J267" s="1134"/>
    </row>
    <row r="268" ht="14.25" customHeight="1">
      <c r="A268" s="1091">
        <v>39320.0</v>
      </c>
      <c r="B268" s="1135" t="s">
        <v>724</v>
      </c>
      <c r="C268" s="1093" t="s">
        <v>46</v>
      </c>
      <c r="D268" s="1094">
        <v>1.0</v>
      </c>
      <c r="E268" s="636">
        <v>16.25</v>
      </c>
      <c r="F268" s="637" t="str">
        <f t="shared" si="37"/>
        <v>16.25</v>
      </c>
      <c r="H268" s="1104"/>
      <c r="I268" s="1106"/>
      <c r="J268" s="1134"/>
    </row>
    <row r="269" ht="14.25" customHeight="1">
      <c r="A269" s="803"/>
      <c r="B269" s="1100"/>
      <c r="C269" s="711"/>
      <c r="D269" s="1101"/>
      <c r="E269" s="1102" t="s">
        <v>927</v>
      </c>
      <c r="F269" s="1103" t="str">
        <f>SUM(F266:F268)</f>
        <v>17.81</v>
      </c>
      <c r="I269" s="1109"/>
      <c r="J269" s="1109"/>
    </row>
    <row r="270" ht="14.25" customHeight="1">
      <c r="A270" s="611"/>
      <c r="B270" s="656" t="s">
        <v>928</v>
      </c>
      <c r="C270" s="613"/>
      <c r="D270" s="613"/>
      <c r="E270" s="614"/>
      <c r="F270" s="615" t="str">
        <f>F264+F269</f>
        <v>20.94</v>
      </c>
      <c r="I270" s="1109"/>
      <c r="J270" s="1109"/>
      <c r="K270" s="1109"/>
    </row>
    <row r="271" ht="14.25" customHeight="1">
      <c r="I271" s="1109"/>
      <c r="J271" s="1109"/>
      <c r="K271" s="1109"/>
    </row>
    <row r="272" ht="26.25" customHeight="1">
      <c r="A272" s="657" t="s">
        <v>729</v>
      </c>
      <c r="B272" s="1084" t="s">
        <v>730</v>
      </c>
      <c r="C272" s="1085" t="s">
        <v>46</v>
      </c>
      <c r="D272" s="590"/>
      <c r="E272" s="591"/>
      <c r="F272" s="626"/>
      <c r="H272" s="6"/>
    </row>
    <row r="273" ht="14.25" customHeight="1">
      <c r="A273" s="817" t="s">
        <v>1535</v>
      </c>
      <c r="B273" s="561"/>
      <c r="C273" s="561"/>
      <c r="D273" s="561"/>
      <c r="E273" s="561"/>
      <c r="F273" s="124"/>
      <c r="H273" s="1139"/>
      <c r="I273" s="1139"/>
      <c r="J273" s="1139"/>
      <c r="K273" s="1139"/>
    </row>
    <row r="274" ht="14.25" customHeight="1">
      <c r="A274" s="628"/>
      <c r="B274" s="1086" t="s">
        <v>918</v>
      </c>
      <c r="C274" s="1087" t="s">
        <v>919</v>
      </c>
      <c r="D274" s="1088" t="s">
        <v>920</v>
      </c>
      <c r="E274" s="1089" t="s">
        <v>921</v>
      </c>
      <c r="F274" s="1090" t="s">
        <v>922</v>
      </c>
      <c r="H274" s="1139"/>
      <c r="I274" s="1139"/>
      <c r="J274" s="1139"/>
      <c r="K274" s="1139"/>
    </row>
    <row r="275" ht="14.25" customHeight="1">
      <c r="A275" s="1091" t="s">
        <v>1486</v>
      </c>
      <c r="B275" s="1092" t="s">
        <v>1481</v>
      </c>
      <c r="C275" s="1093" t="s">
        <v>924</v>
      </c>
      <c r="D275" s="1115">
        <v>0.55</v>
      </c>
      <c r="E275" s="605">
        <v>20.16</v>
      </c>
      <c r="F275" s="637" t="str">
        <f t="shared" ref="F275:F276" si="38">TRUNC((D275*E275),2)</f>
        <v>11.08</v>
      </c>
      <c r="H275" s="1139"/>
      <c r="I275" s="1139"/>
      <c r="J275" s="1139"/>
      <c r="K275" s="1139"/>
    </row>
    <row r="276" ht="14.25" customHeight="1">
      <c r="A276" s="1091" t="s">
        <v>1487</v>
      </c>
      <c r="B276" s="1092" t="s">
        <v>1002</v>
      </c>
      <c r="C276" s="1093" t="s">
        <v>924</v>
      </c>
      <c r="D276" s="1115">
        <v>0.55</v>
      </c>
      <c r="E276" s="605">
        <v>24.64</v>
      </c>
      <c r="F276" s="637" t="str">
        <f t="shared" si="38"/>
        <v>13.55</v>
      </c>
      <c r="H276" s="1139"/>
      <c r="I276" s="1139"/>
      <c r="J276" s="1139"/>
      <c r="K276" s="1139"/>
    </row>
    <row r="277" ht="14.25" customHeight="1">
      <c r="A277" s="497"/>
      <c r="B277" s="688"/>
      <c r="C277" s="1093" t="s">
        <v>910</v>
      </c>
      <c r="D277" s="1095" t="s">
        <v>910</v>
      </c>
      <c r="E277" s="728" t="s">
        <v>927</v>
      </c>
      <c r="F277" s="1096" t="str">
        <f>SUM(F275:F276)</f>
        <v>24.63</v>
      </c>
      <c r="H277" s="1139"/>
      <c r="I277" s="1139"/>
      <c r="J277" s="1139"/>
      <c r="K277" s="1139"/>
    </row>
    <row r="278" ht="14.25" customHeight="1">
      <c r="A278" s="497"/>
      <c r="B278" s="1097" t="s">
        <v>936</v>
      </c>
      <c r="C278" s="944" t="s">
        <v>919</v>
      </c>
      <c r="D278" s="945" t="s">
        <v>920</v>
      </c>
      <c r="E278" s="1098" t="s">
        <v>921</v>
      </c>
      <c r="F278" s="1096" t="s">
        <v>922</v>
      </c>
      <c r="H278" s="1139"/>
      <c r="I278" s="1139"/>
      <c r="J278" s="1139"/>
      <c r="K278" s="1139"/>
    </row>
    <row r="279" ht="14.25" customHeight="1">
      <c r="A279" s="1091">
        <v>35277.0</v>
      </c>
      <c r="B279" s="600" t="s">
        <v>730</v>
      </c>
      <c r="C279" s="1093" t="s">
        <v>46</v>
      </c>
      <c r="D279" s="1094">
        <v>1.0</v>
      </c>
      <c r="E279" s="636">
        <v>421.69</v>
      </c>
      <c r="F279" s="637" t="str">
        <f>TRUNC((D279*E279),2)</f>
        <v>421.69</v>
      </c>
      <c r="H279" s="1139"/>
      <c r="I279" s="1139"/>
      <c r="J279" s="1139"/>
      <c r="K279" s="1139"/>
    </row>
    <row r="280" ht="14.25" customHeight="1">
      <c r="A280" s="803"/>
      <c r="B280" s="1100"/>
      <c r="C280" s="711"/>
      <c r="D280" s="1101"/>
      <c r="E280" s="1102" t="s">
        <v>927</v>
      </c>
      <c r="F280" s="1103" t="str">
        <f>SUM(F279)</f>
        <v>421.69</v>
      </c>
    </row>
    <row r="281" ht="14.25" customHeight="1">
      <c r="A281" s="611"/>
      <c r="B281" s="656" t="s">
        <v>928</v>
      </c>
      <c r="C281" s="613"/>
      <c r="D281" s="613"/>
      <c r="E281" s="614"/>
      <c r="F281" s="615" t="str">
        <f>F277+F280</f>
        <v>446.32</v>
      </c>
    </row>
    <row r="282" ht="16.5" customHeight="1">
      <c r="A282" s="876"/>
      <c r="B282" s="885"/>
      <c r="C282" s="876"/>
      <c r="D282" s="876"/>
      <c r="E282" s="876"/>
      <c r="F282" s="876"/>
    </row>
    <row r="283" ht="26.25" customHeight="1">
      <c r="A283" s="657" t="s">
        <v>1536</v>
      </c>
      <c r="B283" s="1084" t="s">
        <v>630</v>
      </c>
      <c r="C283" s="1085" t="s">
        <v>46</v>
      </c>
      <c r="D283" s="590"/>
      <c r="E283" s="591"/>
      <c r="F283" s="626"/>
    </row>
    <row r="284" ht="14.25" customHeight="1">
      <c r="A284" s="817" t="s">
        <v>1537</v>
      </c>
      <c r="B284" s="561"/>
      <c r="C284" s="561"/>
      <c r="D284" s="561"/>
      <c r="E284" s="561"/>
      <c r="F284" s="124"/>
    </row>
    <row r="285" ht="14.25" customHeight="1">
      <c r="A285" s="628"/>
      <c r="B285" s="1086" t="s">
        <v>918</v>
      </c>
      <c r="C285" s="1087" t="s">
        <v>919</v>
      </c>
      <c r="D285" s="1088" t="s">
        <v>920</v>
      </c>
      <c r="E285" s="1089" t="s">
        <v>921</v>
      </c>
      <c r="F285" s="1090" t="s">
        <v>922</v>
      </c>
    </row>
    <row r="286" ht="14.25" customHeight="1">
      <c r="A286" s="1008" t="s">
        <v>1486</v>
      </c>
      <c r="B286" s="1092" t="s">
        <v>1481</v>
      </c>
      <c r="C286" s="1093" t="s">
        <v>924</v>
      </c>
      <c r="D286" s="1115">
        <v>1.5</v>
      </c>
      <c r="E286" s="605">
        <v>20.16</v>
      </c>
      <c r="F286" s="637" t="str">
        <f t="shared" ref="F286:F287" si="39">TRUNC((D286*E286),2)</f>
        <v>30.24</v>
      </c>
    </row>
    <row r="287" ht="14.25" customHeight="1">
      <c r="A287" s="1008" t="s">
        <v>1487</v>
      </c>
      <c r="B287" s="1092" t="s">
        <v>1002</v>
      </c>
      <c r="C287" s="1093" t="s">
        <v>924</v>
      </c>
      <c r="D287" s="1115">
        <v>1.0</v>
      </c>
      <c r="E287" s="605">
        <v>24.64</v>
      </c>
      <c r="F287" s="637" t="str">
        <f t="shared" si="39"/>
        <v>24.64</v>
      </c>
    </row>
    <row r="288" ht="14.25" customHeight="1">
      <c r="A288" s="497"/>
      <c r="B288" s="688"/>
      <c r="C288" s="1093" t="s">
        <v>910</v>
      </c>
      <c r="D288" s="1095" t="s">
        <v>910</v>
      </c>
      <c r="E288" s="728" t="s">
        <v>927</v>
      </c>
      <c r="F288" s="1096" t="str">
        <f>SUM(F286:F287)</f>
        <v>54.88</v>
      </c>
    </row>
    <row r="289" ht="14.25" customHeight="1">
      <c r="A289" s="497"/>
      <c r="B289" s="1097" t="s">
        <v>936</v>
      </c>
      <c r="C289" s="944" t="s">
        <v>919</v>
      </c>
      <c r="D289" s="945" t="s">
        <v>920</v>
      </c>
      <c r="E289" s="1098" t="s">
        <v>921</v>
      </c>
      <c r="F289" s="1096" t="s">
        <v>922</v>
      </c>
    </row>
    <row r="290" ht="14.25" customHeight="1">
      <c r="A290" s="1008">
        <v>37104.0</v>
      </c>
      <c r="B290" s="600" t="s">
        <v>1538</v>
      </c>
      <c r="C290" s="1093" t="s">
        <v>46</v>
      </c>
      <c r="D290" s="1094">
        <v>1.0</v>
      </c>
      <c r="E290" s="636">
        <v>1448.73</v>
      </c>
      <c r="F290" s="637" t="str">
        <f>TRUNC((D290*E290),2)</f>
        <v>1,448.73</v>
      </c>
    </row>
    <row r="291" ht="14.25" customHeight="1">
      <c r="A291" s="803"/>
      <c r="B291" s="1100"/>
      <c r="C291" s="711"/>
      <c r="D291" s="1101"/>
      <c r="E291" s="1102" t="s">
        <v>927</v>
      </c>
      <c r="F291" s="1103" t="str">
        <f>SUM(F290)</f>
        <v>1,448.73</v>
      </c>
    </row>
    <row r="292" ht="14.25" customHeight="1">
      <c r="A292" s="611"/>
      <c r="B292" s="656" t="s">
        <v>928</v>
      </c>
      <c r="C292" s="613"/>
      <c r="D292" s="613"/>
      <c r="E292" s="614"/>
      <c r="F292" s="615" t="str">
        <f>F288+F291</f>
        <v>1,503.61</v>
      </c>
    </row>
  </sheetData>
  <mergeCells count="45">
    <mergeCell ref="B49:E49"/>
    <mergeCell ref="A52:F52"/>
    <mergeCell ref="A8:F8"/>
    <mergeCell ref="A10:F10"/>
    <mergeCell ref="B21:E21"/>
    <mergeCell ref="A24:F24"/>
    <mergeCell ref="B35:E35"/>
    <mergeCell ref="A38:F38"/>
    <mergeCell ref="B62:E62"/>
    <mergeCell ref="A65:F65"/>
    <mergeCell ref="B115:E115"/>
    <mergeCell ref="B153:E153"/>
    <mergeCell ref="B142:E142"/>
    <mergeCell ref="B129:E129"/>
    <mergeCell ref="A224:F224"/>
    <mergeCell ref="B233:E233"/>
    <mergeCell ref="A284:F284"/>
    <mergeCell ref="A273:F273"/>
    <mergeCell ref="B281:E281"/>
    <mergeCell ref="B244:E244"/>
    <mergeCell ref="A247:F247"/>
    <mergeCell ref="B257:E257"/>
    <mergeCell ref="A260:F260"/>
    <mergeCell ref="B292:E292"/>
    <mergeCell ref="A118:F118"/>
    <mergeCell ref="A91:F91"/>
    <mergeCell ref="B101:E101"/>
    <mergeCell ref="A104:F104"/>
    <mergeCell ref="B88:E88"/>
    <mergeCell ref="A236:F236"/>
    <mergeCell ref="B270:E270"/>
    <mergeCell ref="A156:F156"/>
    <mergeCell ref="B165:E165"/>
    <mergeCell ref="A168:F168"/>
    <mergeCell ref="B181:E181"/>
    <mergeCell ref="A211:F211"/>
    <mergeCell ref="B221:E221"/>
    <mergeCell ref="A132:F132"/>
    <mergeCell ref="A145:F145"/>
    <mergeCell ref="B74:E74"/>
    <mergeCell ref="A77:F77"/>
    <mergeCell ref="A184:F184"/>
    <mergeCell ref="B193:E193"/>
    <mergeCell ref="A196:F196"/>
    <mergeCell ref="B207:E207"/>
  </mergeCells>
  <conditionalFormatting sqref="H39 I264:J265">
    <cfRule type="expression" dxfId="0" priority="1" stopIfTrue="1">
      <formula>AND($A39&lt;&gt;"COMPOSICAO",$A39&lt;&gt;"INSUMO",$A39&lt;&gt;"")</formula>
    </cfRule>
  </conditionalFormatting>
  <conditionalFormatting sqref="H39 I264:J265">
    <cfRule type="expression" dxfId="1" priority="2" stopIfTrue="1">
      <formula>AND(OR($A39="COMPOSICAO",$A39="INSUMO",$A39&lt;&gt;""),$A39&lt;&gt;"")</formula>
    </cfRule>
  </conditionalFormatting>
  <conditionalFormatting sqref="H48">
    <cfRule type="expression" dxfId="0" priority="3" stopIfTrue="1">
      <formula>AND($A48&lt;&gt;"COMPOSICAO",$A48&lt;&gt;"INSUMO",$A48&lt;&gt;"")</formula>
    </cfRule>
  </conditionalFormatting>
  <conditionalFormatting sqref="H48">
    <cfRule type="expression" dxfId="1" priority="4" stopIfTrue="1">
      <formula>AND(OR($A48="COMPOSICAO",$A48="INSUMO",$A48&lt;&gt;""),$A48&lt;&gt;"")</formula>
    </cfRule>
  </conditionalFormatting>
  <conditionalFormatting sqref="H215:H216">
    <cfRule type="expression" dxfId="0" priority="5" stopIfTrue="1">
      <formula>AND($A215&lt;&gt;"COMPOSICAO",$A215&lt;&gt;"INSUMO",$A215&lt;&gt;"")</formula>
    </cfRule>
  </conditionalFormatting>
  <conditionalFormatting sqref="H215:H216">
    <cfRule type="expression" dxfId="1" priority="6" stopIfTrue="1">
      <formula>AND(OR($A215="COMPOSICAO",$A215="INSUMO",$A215&lt;&gt;""),$A215&lt;&gt;"")</formula>
    </cfRule>
  </conditionalFormatting>
  <conditionalFormatting sqref="I215:I216">
    <cfRule type="expression" dxfId="0" priority="7" stopIfTrue="1">
      <formula>AND($A215&lt;&gt;"COMPOSICAO",$A215&lt;&gt;"INSUMO",$A215&lt;&gt;"")</formula>
    </cfRule>
  </conditionalFormatting>
  <conditionalFormatting sqref="I215:I216">
    <cfRule type="expression" dxfId="1" priority="8" stopIfTrue="1">
      <formula>AND(OR($A215="COMPOSICAO",$A215="INSUMO",$A215&lt;&gt;""),$A215&lt;&gt;"")</formula>
    </cfRule>
  </conditionalFormatting>
  <conditionalFormatting sqref="H122:H123">
    <cfRule type="expression" dxfId="0" priority="9" stopIfTrue="1">
      <formula>AND($A122&lt;&gt;"COMPOSICAO",$A122&lt;&gt;"INSUMO",$A122&lt;&gt;"")</formula>
    </cfRule>
  </conditionalFormatting>
  <conditionalFormatting sqref="H122:H123">
    <cfRule type="expression" dxfId="1" priority="10" stopIfTrue="1">
      <formula>AND(OR($A122="COMPOSICAO",$A122="INSUMO",$A122&lt;&gt;""),$A122&lt;&gt;"")</formula>
    </cfRule>
  </conditionalFormatting>
  <conditionalFormatting sqref="J122:J123">
    <cfRule type="expression" dxfId="0" priority="11" stopIfTrue="1">
      <formula>AND($A122&lt;&gt;"COMPOSICAO",$A122&lt;&gt;"INSUMO",$A122&lt;&gt;"")</formula>
    </cfRule>
  </conditionalFormatting>
  <conditionalFormatting sqref="J122:J123">
    <cfRule type="expression" dxfId="1" priority="12" stopIfTrue="1">
      <formula>AND(OR($A122="COMPOSICAO",$A122="INSUMO",$A122&lt;&gt;""),$A122&lt;&gt;"")</formula>
    </cfRule>
  </conditionalFormatting>
  <conditionalFormatting sqref="I122:I123">
    <cfRule type="expression" dxfId="0" priority="13" stopIfTrue="1">
      <formula>AND($A122&lt;&gt;"COMPOSICAO",$A122&lt;&gt;"INSUMO",$A122&lt;&gt;"")</formula>
    </cfRule>
  </conditionalFormatting>
  <conditionalFormatting sqref="I122:I123">
    <cfRule type="expression" dxfId="1" priority="14" stopIfTrue="1">
      <formula>AND(OR($A122="COMPOSICAO",$A122="INSUMO",$A122&lt;&gt;""),$A122&lt;&gt;"")</formula>
    </cfRule>
  </conditionalFormatting>
  <printOptions horizontalCentered="1"/>
  <pageMargins bottom="0.7874015748031497" footer="0.0" header="0.0" left="0.5118110236220472" right="0.5118110236220472" top="0.7874015748031497"/>
  <pageSetup paperSize="9" scale="70"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43"/>
    <col customWidth="1" min="2" max="2" width="57.86"/>
    <col customWidth="1" min="3" max="3" width="10.0"/>
    <col customWidth="1" min="4" max="4" width="9.29"/>
    <col customWidth="1" min="5" max="5" width="11.14"/>
    <col customWidth="1" min="6" max="6" width="19.14"/>
    <col customWidth="1" min="7" max="11" width="8.71"/>
  </cols>
  <sheetData>
    <row r="1" ht="5.25" customHeight="1"/>
    <row r="2" ht="14.25" customHeight="1">
      <c r="A2" s="576" t="s">
        <v>0</v>
      </c>
      <c r="B2" s="569" t="str">
        <f>'PLANILHA SEM DESON'!B7:C7</f>
        <v>SEMA-PRO-2022/00145</v>
      </c>
      <c r="C2" s="569"/>
      <c r="D2" s="569"/>
      <c r="E2" s="579" t="s">
        <v>916</v>
      </c>
      <c r="F2" s="886" t="str">
        <f>'PLANILHA SEM DESON'!I10</f>
        <v>11/30/2022</v>
      </c>
    </row>
    <row r="3" ht="14.25" customHeight="1">
      <c r="A3" s="1140" t="s">
        <v>21</v>
      </c>
      <c r="B3" t="str">
        <f>'PLANILHA SEM DESON'!B8:C8</f>
        <v>CONSTRUÇÃO DE DIRETORIA DE UNIDADE DESCONCENTRADA DA SEMA - DUDS</v>
      </c>
      <c r="F3" s="159"/>
    </row>
    <row r="4" ht="14.25" customHeight="1">
      <c r="A4" s="581" t="s">
        <v>23</v>
      </c>
      <c r="B4" t="str">
        <f>'PLANILHA SEM DESON'!B9:C9</f>
        <v>Rua Erichin, esquina com Rua Circular - Bairro Residencial Arco Íris</v>
      </c>
      <c r="F4" s="159"/>
    </row>
    <row r="5" ht="14.25" customHeight="1">
      <c r="A5" s="581" t="s">
        <v>26</v>
      </c>
      <c r="B5" t="str">
        <f>'PLANILHA SEM DESON'!B10:C10</f>
        <v>CONFRESA - MT</v>
      </c>
      <c r="F5" s="159"/>
    </row>
    <row r="6" ht="14.25" customHeight="1">
      <c r="A6" s="583" t="s">
        <v>29</v>
      </c>
      <c r="B6" s="574" t="str">
        <f>'PLANILHA SEM DESON'!B11</f>
        <v>CONSTRUÇÃO </v>
      </c>
      <c r="C6" s="574"/>
      <c r="D6" s="574"/>
      <c r="E6" s="574"/>
      <c r="F6" s="575"/>
    </row>
    <row r="7" ht="4.5" customHeight="1"/>
    <row r="8" ht="14.25" customHeight="1">
      <c r="A8" s="887" t="s">
        <v>1539</v>
      </c>
      <c r="B8" s="28"/>
      <c r="C8" s="28"/>
      <c r="D8" s="28"/>
      <c r="E8" s="28"/>
      <c r="F8" s="29"/>
    </row>
    <row r="9" ht="15.75" customHeight="1">
      <c r="A9" s="657" t="s">
        <v>785</v>
      </c>
      <c r="B9" s="658" t="s">
        <v>786</v>
      </c>
      <c r="C9" s="1085" t="s">
        <v>69</v>
      </c>
      <c r="D9" s="590"/>
      <c r="E9" s="591"/>
      <c r="F9" s="626"/>
    </row>
    <row r="10" ht="15.0" customHeight="1">
      <c r="A10" s="817" t="s">
        <v>1540</v>
      </c>
      <c r="B10" s="561"/>
      <c r="C10" s="561"/>
      <c r="D10" s="561"/>
      <c r="E10" s="561"/>
      <c r="F10" s="124"/>
    </row>
    <row r="11" ht="14.25" customHeight="1">
      <c r="A11" s="628"/>
      <c r="B11" s="1086" t="s">
        <v>918</v>
      </c>
      <c r="C11" s="1087" t="s">
        <v>919</v>
      </c>
      <c r="D11" s="1088" t="s">
        <v>920</v>
      </c>
      <c r="E11" s="1089" t="s">
        <v>921</v>
      </c>
      <c r="F11" s="1090" t="s">
        <v>922</v>
      </c>
      <c r="H11" s="1137"/>
    </row>
    <row r="12" ht="14.25" customHeight="1">
      <c r="A12" s="1008">
        <v>88239.0</v>
      </c>
      <c r="B12" s="600" t="s">
        <v>1070</v>
      </c>
      <c r="C12" s="1093" t="s">
        <v>924</v>
      </c>
      <c r="D12" s="1094">
        <v>0.123</v>
      </c>
      <c r="E12" s="605">
        <v>18.79</v>
      </c>
      <c r="F12" s="637" t="str">
        <f t="shared" ref="F12:F15" si="1">TRUNC((D12*E12),2)</f>
        <v>2.31</v>
      </c>
    </row>
    <row r="13" ht="14.25" customHeight="1">
      <c r="A13" s="1008">
        <v>88262.0</v>
      </c>
      <c r="B13" s="600" t="s">
        <v>934</v>
      </c>
      <c r="C13" s="1093" t="s">
        <v>924</v>
      </c>
      <c r="D13" s="1094">
        <v>0.075</v>
      </c>
      <c r="E13" s="605">
        <v>22.16</v>
      </c>
      <c r="F13" s="637" t="str">
        <f t="shared" si="1"/>
        <v>1.66</v>
      </c>
    </row>
    <row r="14" ht="14.25" customHeight="1">
      <c r="A14" s="1141">
        <v>88309.0</v>
      </c>
      <c r="B14" s="600" t="s">
        <v>964</v>
      </c>
      <c r="C14" s="1093" t="s">
        <v>924</v>
      </c>
      <c r="D14" s="1094">
        <v>0.02</v>
      </c>
      <c r="E14" s="605">
        <v>22.41</v>
      </c>
      <c r="F14" s="637" t="str">
        <f t="shared" si="1"/>
        <v>0.44</v>
      </c>
    </row>
    <row r="15" ht="14.25" customHeight="1">
      <c r="A15" s="1141">
        <v>88316.0</v>
      </c>
      <c r="B15" s="600" t="s">
        <v>935</v>
      </c>
      <c r="C15" s="1093" t="s">
        <v>924</v>
      </c>
      <c r="D15" s="1094">
        <v>0.06</v>
      </c>
      <c r="E15" s="605">
        <v>17.82</v>
      </c>
      <c r="F15" s="637" t="str">
        <f t="shared" si="1"/>
        <v>1.06</v>
      </c>
    </row>
    <row r="16" ht="14.25" customHeight="1">
      <c r="A16" s="497"/>
      <c r="B16" s="688"/>
      <c r="C16" s="1093" t="s">
        <v>910</v>
      </c>
      <c r="D16" s="1095" t="s">
        <v>910</v>
      </c>
      <c r="E16" s="728" t="s">
        <v>927</v>
      </c>
      <c r="F16" s="1096" t="str">
        <f>SUM(F12:F15)</f>
        <v>5.47</v>
      </c>
    </row>
    <row r="17" ht="14.25" customHeight="1">
      <c r="A17" s="497"/>
      <c r="B17" s="1097" t="s">
        <v>936</v>
      </c>
      <c r="C17" s="944" t="s">
        <v>919</v>
      </c>
      <c r="D17" s="945" t="s">
        <v>920</v>
      </c>
      <c r="E17" s="1098" t="s">
        <v>921</v>
      </c>
      <c r="F17" s="1096" t="s">
        <v>922</v>
      </c>
    </row>
    <row r="18" ht="43.5" customHeight="1">
      <c r="A18" s="1008">
        <v>102475.0</v>
      </c>
      <c r="B18" s="600" t="s">
        <v>1541</v>
      </c>
      <c r="C18" s="1093" t="s">
        <v>58</v>
      </c>
      <c r="D18" s="1099">
        <v>0.01</v>
      </c>
      <c r="E18" s="636">
        <v>658.56</v>
      </c>
      <c r="F18" s="637" t="str">
        <f t="shared" ref="F18:F21" si="2">TRUNC((D18*E18),2)</f>
        <v>6.58</v>
      </c>
    </row>
    <row r="19" ht="67.5" customHeight="1">
      <c r="A19" s="1141">
        <v>92915.0</v>
      </c>
      <c r="B19" s="600" t="s">
        <v>1542</v>
      </c>
      <c r="C19" s="1093" t="s">
        <v>107</v>
      </c>
      <c r="D19" s="1099">
        <v>0.72</v>
      </c>
      <c r="E19" s="636">
        <v>19.28</v>
      </c>
      <c r="F19" s="637" t="str">
        <f t="shared" si="2"/>
        <v>13.88</v>
      </c>
    </row>
    <row r="20" ht="14.25" customHeight="1">
      <c r="A20" s="1141">
        <v>5069.0</v>
      </c>
      <c r="B20" s="600" t="s">
        <v>1543</v>
      </c>
      <c r="C20" s="1093" t="s">
        <v>107</v>
      </c>
      <c r="D20" s="1099">
        <v>0.01</v>
      </c>
      <c r="E20" s="636">
        <v>26.39</v>
      </c>
      <c r="F20" s="637" t="str">
        <f t="shared" si="2"/>
        <v>0.26</v>
      </c>
    </row>
    <row r="21" ht="14.25" customHeight="1">
      <c r="A21" s="1141">
        <v>6189.0</v>
      </c>
      <c r="B21" s="600" t="s">
        <v>1544</v>
      </c>
      <c r="C21" s="1093" t="s">
        <v>69</v>
      </c>
      <c r="D21" s="1099">
        <v>0.2219</v>
      </c>
      <c r="E21" s="636">
        <v>26.29</v>
      </c>
      <c r="F21" s="637" t="str">
        <f t="shared" si="2"/>
        <v>5.83</v>
      </c>
    </row>
    <row r="22" ht="14.25" customHeight="1">
      <c r="A22" s="803"/>
      <c r="B22" s="1100"/>
      <c r="C22" s="711"/>
      <c r="D22" s="1101"/>
      <c r="E22" s="1102" t="s">
        <v>927</v>
      </c>
      <c r="F22" s="1103" t="str">
        <f>SUM(F18:F21)</f>
        <v>26.55</v>
      </c>
    </row>
    <row r="23" ht="14.25" customHeight="1">
      <c r="A23" s="611"/>
      <c r="B23" s="656" t="s">
        <v>928</v>
      </c>
      <c r="C23" s="613"/>
      <c r="D23" s="613"/>
      <c r="E23" s="614"/>
      <c r="F23" s="615" t="str">
        <f>F16+F22</f>
        <v>32.02</v>
      </c>
    </row>
    <row r="24" ht="3.0" customHeight="1"/>
    <row r="25" ht="42.75" customHeight="1">
      <c r="A25" s="1142" t="s">
        <v>1545</v>
      </c>
      <c r="B25" s="618"/>
      <c r="C25" s="815" t="s">
        <v>1546</v>
      </c>
      <c r="D25" s="28"/>
      <c r="E25" s="28"/>
      <c r="F25" s="29"/>
    </row>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5">
    <mergeCell ref="A8:F8"/>
    <mergeCell ref="B23:E23"/>
    <mergeCell ref="A25:B25"/>
    <mergeCell ref="C25:F25"/>
    <mergeCell ref="A10:F10"/>
  </mergeCells>
  <printOptions horizontalCentered="1"/>
  <pageMargins bottom="0.7874015748031497" footer="0.0" header="0.0" left="0.5118110236220472" right="0.5118110236220472" top="0.7874015748031497"/>
  <pageSetup paperSize="9" scale="70"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14"/>
    <col customWidth="1" min="2" max="2" width="29.14"/>
    <col customWidth="1" min="3" max="3" width="14.0"/>
    <col customWidth="1" min="4" max="11" width="8.71"/>
  </cols>
  <sheetData>
    <row r="1" ht="14.25" customHeight="1">
      <c r="A1" s="1143"/>
      <c r="B1" s="34"/>
      <c r="C1" s="34"/>
    </row>
    <row r="2" ht="14.25" customHeight="1">
      <c r="A2" s="1144"/>
    </row>
    <row r="3" ht="14.25" customHeight="1">
      <c r="A3" s="1145"/>
    </row>
    <row r="4" ht="14.25" customHeight="1">
      <c r="A4" s="1146"/>
      <c r="B4" s="1147"/>
      <c r="C4" s="1147"/>
    </row>
    <row r="5" ht="30.75" customHeight="1">
      <c r="A5" s="1148" t="s">
        <v>1547</v>
      </c>
      <c r="B5" s="34"/>
      <c r="C5" s="35"/>
    </row>
    <row r="6" ht="14.25" customHeight="1">
      <c r="A6" s="1149"/>
      <c r="B6" s="1150"/>
      <c r="C6" s="1151"/>
    </row>
    <row r="7" ht="14.25" customHeight="1">
      <c r="A7" s="1152"/>
      <c r="B7" s="1153" t="s">
        <v>1548</v>
      </c>
      <c r="C7" s="1154">
        <v>42339.0</v>
      </c>
    </row>
    <row r="8" ht="14.25" customHeight="1">
      <c r="A8" s="1152"/>
      <c r="B8" s="1155"/>
      <c r="C8" s="1154"/>
    </row>
    <row r="9" ht="14.25" customHeight="1">
      <c r="A9" s="1156" t="s">
        <v>1549</v>
      </c>
      <c r="B9" s="618"/>
      <c r="C9" s="1157" t="s">
        <v>12</v>
      </c>
    </row>
    <row r="10" ht="14.25" customHeight="1">
      <c r="A10" s="1158" t="s">
        <v>1550</v>
      </c>
      <c r="B10" s="1159"/>
      <c r="C10" s="1160">
        <v>0.04</v>
      </c>
    </row>
    <row r="11" ht="14.25" customHeight="1">
      <c r="A11" s="1161" t="s">
        <v>1551</v>
      </c>
      <c r="B11" s="1162"/>
      <c r="C11" s="1163">
        <v>0.0123</v>
      </c>
    </row>
    <row r="12" ht="14.25" customHeight="1">
      <c r="A12" s="1161" t="s">
        <v>1552</v>
      </c>
      <c r="B12" s="1162"/>
      <c r="C12" s="1163">
        <v>0.0127</v>
      </c>
    </row>
    <row r="13" ht="14.25" customHeight="1">
      <c r="A13" s="1164" t="s">
        <v>1553</v>
      </c>
      <c r="B13" s="1165"/>
      <c r="C13" s="1166">
        <v>0.008</v>
      </c>
    </row>
    <row r="14" ht="14.25" customHeight="1">
      <c r="A14" s="1167"/>
      <c r="B14" s="1168" t="s">
        <v>1554</v>
      </c>
      <c r="C14" s="1169" t="str">
        <f>SUM(C10:C13)</f>
        <v>7.30%</v>
      </c>
    </row>
    <row r="15" ht="14.25" customHeight="1">
      <c r="A15" s="1156" t="s">
        <v>1555</v>
      </c>
      <c r="B15" s="618"/>
      <c r="C15" s="1157" t="s">
        <v>12</v>
      </c>
    </row>
    <row r="16" ht="14.25" customHeight="1">
      <c r="A16" s="1161" t="s">
        <v>1556</v>
      </c>
      <c r="B16" s="1162"/>
      <c r="C16" s="1170">
        <v>0.074</v>
      </c>
    </row>
    <row r="17" ht="14.25" customHeight="1">
      <c r="A17" s="1167"/>
      <c r="B17" s="1168" t="s">
        <v>1554</v>
      </c>
      <c r="C17" s="1169" t="str">
        <f>SUM(C16)</f>
        <v>7.40%</v>
      </c>
    </row>
    <row r="18" ht="14.25" customHeight="1">
      <c r="A18" s="1156"/>
      <c r="B18" s="618"/>
      <c r="C18" s="1169"/>
    </row>
    <row r="19" ht="14.25" customHeight="1">
      <c r="A19" s="1156" t="s">
        <v>1557</v>
      </c>
      <c r="B19" s="618"/>
      <c r="C19" s="1157" t="s">
        <v>12</v>
      </c>
    </row>
    <row r="20" ht="14.25" customHeight="1">
      <c r="A20" s="1161" t="s">
        <v>1558</v>
      </c>
      <c r="B20" s="1171"/>
      <c r="C20" s="1163">
        <v>0.0065</v>
      </c>
    </row>
    <row r="21" ht="14.25" customHeight="1">
      <c r="A21" s="1161" t="s">
        <v>1559</v>
      </c>
      <c r="B21" s="1171"/>
      <c r="C21" s="1163">
        <v>0.03</v>
      </c>
    </row>
    <row r="22" ht="14.25" customHeight="1">
      <c r="A22" s="1161" t="s">
        <v>1560</v>
      </c>
      <c r="B22" s="1171"/>
      <c r="C22" s="1163">
        <v>0.02</v>
      </c>
    </row>
    <row r="23" ht="14.25" customHeight="1">
      <c r="A23" s="1167"/>
      <c r="B23" s="1168" t="s">
        <v>1554</v>
      </c>
      <c r="C23" s="1169" t="str">
        <f>SUM(C20:C22)</f>
        <v>5.65%</v>
      </c>
    </row>
    <row r="24" ht="14.25" customHeight="1">
      <c r="A24" s="1167"/>
      <c r="B24" s="1172"/>
      <c r="C24" s="1173"/>
    </row>
    <row r="25" ht="14.25" customHeight="1">
      <c r="A25" s="1174"/>
      <c r="B25" s="555"/>
      <c r="C25" s="1175"/>
      <c r="D25" s="1176" t="str">
        <f>(1+C10+C12+C13)*(1+C11)*(1+C16)</f>
        <v>115.32%</v>
      </c>
    </row>
    <row r="26" ht="25.5" customHeight="1">
      <c r="A26" s="1177"/>
      <c r="B26" s="1178" t="s">
        <v>1561</v>
      </c>
      <c r="C26" s="1179" t="str">
        <f>(D25/D26)-1</f>
        <v>22.23%</v>
      </c>
      <c r="D26" s="1176" t="str">
        <f>(1-C23)</f>
        <v>94.35%</v>
      </c>
    </row>
    <row r="27" ht="41.25" customHeight="1">
      <c r="A27" s="1180" t="s">
        <v>1562</v>
      </c>
      <c r="B27" s="28"/>
      <c r="C27" s="29"/>
    </row>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10">
    <mergeCell ref="A5:C5"/>
    <mergeCell ref="A9:B9"/>
    <mergeCell ref="A27:C27"/>
    <mergeCell ref="A18:B18"/>
    <mergeCell ref="A19:B19"/>
    <mergeCell ref="A25:B25"/>
    <mergeCell ref="A1:C1"/>
    <mergeCell ref="A2:C2"/>
    <mergeCell ref="A3:C3"/>
    <mergeCell ref="A15:B15"/>
  </mergeCells>
  <printOptions horizontalCentered="1"/>
  <pageMargins bottom="0.7480314960629921" footer="0.0" header="0.0" left="0.7086614173228347" right="0.7086614173228347" top="0.7480314960629921"/>
  <pageSetup paperSize="9" orientation="portrait"/>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4">
      <vt:variant>
        <vt:lpstr>Planilhas</vt:lpstr>
      </vt:variant>
      <vt:variant>
        <vt:i4>16</vt:i4>
      </vt:variant>
      <vt:variant>
        <vt:lpstr>Intervalos Nomeados</vt:lpstr>
      </vt:variant>
      <vt:variant>
        <vt:i4>36</vt:i4>
      </vt:variant>
    </vt:vector>
  </HeadingPairs>
  <TitlesOfParts>
    <vt:vector baseType="lpstr" size="52">
      <vt:lpstr>CRONOGRAMA SEM DESONERAÇÃO</vt:lpstr>
      <vt:lpstr>RESUMO SEM DESONERAÇÃO</vt:lpstr>
      <vt:lpstr>PLANILHA SEM DESON</vt:lpstr>
      <vt:lpstr>COMP CIVIL</vt:lpstr>
      <vt:lpstr>COMP ELE</vt:lpstr>
      <vt:lpstr>COMP ESTRUT</vt:lpstr>
      <vt:lpstr>COMP HIDR</vt:lpstr>
      <vt:lpstr>COMP ETE</vt:lpstr>
      <vt:lpstr>BDI NÃO DESONERADO</vt:lpstr>
      <vt:lpstr>QT IMPLANTAÇÃO ARQ</vt:lpstr>
      <vt:lpstr>QT ESTRUTURAL</vt:lpstr>
      <vt:lpstr>QTITATIVO ELÉTRICA</vt:lpstr>
      <vt:lpstr>QTITQTIVO ARQ</vt:lpstr>
      <vt:lpstr>QTITATIVO MURETA</vt:lpstr>
      <vt:lpstr>QTITQTIVO ETE - ADELMO</vt:lpstr>
      <vt:lpstr>LISTA DE MAT HIDROSSAN</vt:lpstr>
      <vt:lpstr>ACF</vt:lpstr>
      <vt:lpstr>ADELMO</vt:lpstr>
      <vt:lpstr>'BDI NÃO DESONERADO'!Area_de_impressao</vt:lpstr>
      <vt:lpstr>'COMP CIVIL'!Area_de_impressao</vt:lpstr>
      <vt:lpstr>'COMP ELE'!Area_de_impressao</vt:lpstr>
      <vt:lpstr>'COMP ESTRUT'!Area_de_impressao</vt:lpstr>
      <vt:lpstr>'COMP ETE'!Area_de_impressao</vt:lpstr>
      <vt:lpstr>'COMP HIDR'!Area_de_impressao</vt:lpstr>
      <vt:lpstr>'CRONOGRAMA SEM DESONERAÇÃO'!Area_de_impressao</vt:lpstr>
      <vt:lpstr>'PLANILHA SEM DESON'!Area_de_impressao</vt:lpstr>
      <vt:lpstr>'QT ESTRUTURAL'!Area_de_impressao</vt:lpstr>
      <vt:lpstr>'QTITQTIVO ETE - ADELMO'!Area_de_impressao</vt:lpstr>
      <vt:lpstr>'RESUMO SEM DESONERAÇÃO'!Area_de_impressao</vt:lpstr>
      <vt:lpstr>Cb</vt:lpstr>
      <vt:lpstr>Ce</vt:lpstr>
      <vt:lpstr>CFO</vt:lpstr>
      <vt:lpstr>CiFi</vt:lpstr>
      <vt:lpstr>CiFo</vt:lpstr>
      <vt:lpstr>Dch</vt:lpstr>
      <vt:lpstr>Dcs</vt:lpstr>
      <vt:lpstr>DIs</vt:lpstr>
      <vt:lpstr>Eb</vt:lpstr>
      <vt:lpstr>ESGOTO</vt:lpstr>
      <vt:lpstr>Et</vt:lpstr>
      <vt:lpstr>ETE</vt:lpstr>
      <vt:lpstr>Ets</vt:lpstr>
      <vt:lpstr>Hch</vt:lpstr>
      <vt:lpstr>Hcs</vt:lpstr>
      <vt:lpstr>His</vt:lpstr>
      <vt:lpstr>Hit</vt:lpstr>
      <vt:lpstr>KKKKKK</vt:lpstr>
      <vt:lpstr>Lb</vt:lpstr>
      <vt:lpstr>Le</vt:lpstr>
      <vt:lpstr>Li</vt:lpstr>
      <vt:lpstr>Pt</vt:lpstr>
      <vt:lpstr>Pts</vt:lpstr>
    </vt:vector>
  </TitlesOfParts>
  <LinksUpToDate>false</LinksUpToDate>
  <SharedDoc>false</SharedDoc>
  <HyperlinksChanged>false</HyperlinksChanged>
  <Application>Microsoft Excel</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2012-12-28T17:23:20Z</dcterms:created>
  <dc:creator>Katia Ferrer Kalix de Oliveira</dc:creator>
  <cp:lastModifiedBy>Home</cp:lastModifiedBy>
  <cp:lastPrinted>2023-02-01T19:23:49Z</cp:lastPrinted>
  <dcterms:modified xsi:type="dcterms:W3CDTF">2023-05-12T18:26:11Z</dcterms:modified>
</cp:coreProperties>
</file>